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DE3" lockStructure="1"/>
  <bookViews>
    <workbookView xWindow="18795" yWindow="-15" windowWidth="18855" windowHeight="8145" tabRatio="513" activeTab="2"/>
  </bookViews>
  <sheets>
    <sheet name="Main" sheetId="1" r:id="rId1"/>
    <sheet name="Analysis" sheetId="2" r:id="rId2"/>
    <sheet name="Summary" sheetId="3" r:id="rId3"/>
    <sheet name="Sheet1" sheetId="4" r:id="rId4"/>
  </sheets>
  <definedNames>
    <definedName name="_xlnm._FilterDatabase" localSheetId="1" hidden="1">Analysis!$A$11:$DD$116</definedName>
  </definedNames>
  <calcPr calcId="145621"/>
</workbook>
</file>

<file path=xl/calcChain.xml><?xml version="1.0" encoding="utf-8"?>
<calcChain xmlns="http://schemas.openxmlformats.org/spreadsheetml/2006/main">
  <c r="N36" i="3" l="1"/>
  <c r="Q98" i="2"/>
  <c r="Q70" i="2"/>
  <c r="P32" i="2"/>
  <c r="K32" i="2"/>
  <c r="P31" i="2"/>
  <c r="K31" i="2"/>
  <c r="P30" i="2"/>
  <c r="K30" i="2"/>
  <c r="P29" i="2"/>
  <c r="K29" i="2"/>
  <c r="P28" i="2"/>
  <c r="K28" i="2"/>
  <c r="P27" i="2"/>
  <c r="K27" i="2"/>
  <c r="P26" i="2"/>
  <c r="K26" i="2"/>
  <c r="P25" i="2"/>
  <c r="K25" i="2"/>
  <c r="P24" i="2"/>
  <c r="K24" i="2"/>
  <c r="P23" i="2"/>
  <c r="K23" i="2"/>
  <c r="P22" i="2"/>
  <c r="K22" i="2"/>
  <c r="P21" i="2"/>
  <c r="K21" i="2"/>
  <c r="P20" i="2"/>
  <c r="K20" i="2"/>
  <c r="P19" i="2"/>
  <c r="K19" i="2"/>
  <c r="P18" i="2"/>
  <c r="K18" i="2"/>
  <c r="P17" i="2"/>
  <c r="K17" i="2"/>
  <c r="P16" i="2"/>
  <c r="K16" i="2"/>
  <c r="P15" i="2"/>
  <c r="K15" i="2"/>
  <c r="K14" i="2"/>
  <c r="P13" i="2"/>
  <c r="K13" i="2"/>
  <c r="P12" i="2"/>
  <c r="K12" i="2"/>
  <c r="Q54" i="2" l="1"/>
  <c r="Q53" i="2"/>
  <c r="Q52" i="2"/>
  <c r="Q51" i="2"/>
  <c r="Q50" i="2"/>
  <c r="Q49" i="2"/>
  <c r="Q48" i="2"/>
  <c r="Q47" i="2"/>
  <c r="Q46" i="2"/>
  <c r="Q45" i="2"/>
  <c r="Q44" i="2"/>
  <c r="Q43" i="2"/>
  <c r="Q41" i="2"/>
  <c r="Q40" i="2"/>
  <c r="Q110" i="2"/>
  <c r="Q109" i="2"/>
  <c r="Q97" i="2"/>
  <c r="Q99" i="2"/>
  <c r="Q100" i="2"/>
  <c r="Q101" i="2"/>
  <c r="Q102" i="2"/>
  <c r="Q103" i="2"/>
  <c r="Q104" i="2"/>
  <c r="Q105" i="2"/>
  <c r="Q106" i="2"/>
  <c r="Q107" i="2"/>
  <c r="Q108" i="2"/>
  <c r="Q96" i="2"/>
  <c r="Q82" i="2"/>
  <c r="Q81" i="2"/>
  <c r="Q80" i="2"/>
  <c r="Q79" i="2"/>
  <c r="Q78" i="2"/>
  <c r="Q77" i="2"/>
  <c r="Q76" i="2"/>
  <c r="Q75" i="2"/>
  <c r="Q74" i="2"/>
  <c r="Q73" i="2"/>
  <c r="Q72" i="2"/>
  <c r="Q71" i="2"/>
  <c r="Q69" i="2"/>
  <c r="Q68" i="2"/>
  <c r="O38" i="3" l="1"/>
  <c r="O37" i="3"/>
  <c r="O36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10" i="3"/>
  <c r="M4" i="3"/>
  <c r="M5" i="3"/>
  <c r="M6" i="3"/>
  <c r="M7" i="3"/>
  <c r="M8" i="3"/>
  <c r="M9" i="3"/>
  <c r="M3" i="3"/>
  <c r="L3" i="3"/>
  <c r="L4" i="3"/>
  <c r="L5" i="3"/>
  <c r="L6" i="3"/>
  <c r="L7" i="3"/>
  <c r="L8" i="3"/>
  <c r="L9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10" i="3"/>
  <c r="M33" i="3" l="1"/>
  <c r="L31" i="3"/>
  <c r="L33" i="3"/>
  <c r="M32" i="3"/>
  <c r="M31" i="3"/>
  <c r="L32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" i="3"/>
  <c r="P3" i="3" l="1"/>
  <c r="P27" i="3"/>
  <c r="P23" i="3"/>
  <c r="P30" i="3"/>
  <c r="P28" i="3"/>
  <c r="P26" i="3"/>
  <c r="P24" i="3"/>
  <c r="P22" i="3"/>
  <c r="P20" i="3"/>
  <c r="P18" i="3"/>
  <c r="P16" i="3"/>
  <c r="P14" i="3"/>
  <c r="P12" i="3"/>
  <c r="P10" i="3"/>
  <c r="P8" i="3"/>
  <c r="P6" i="3"/>
  <c r="P4" i="3"/>
  <c r="P29" i="3"/>
  <c r="P25" i="3"/>
  <c r="P21" i="3"/>
  <c r="P19" i="3"/>
  <c r="P17" i="3"/>
  <c r="P15" i="3"/>
  <c r="P13" i="3"/>
  <c r="P11" i="3"/>
  <c r="P9" i="3"/>
  <c r="P7" i="3"/>
  <c r="P5" i="3"/>
  <c r="N32" i="3"/>
  <c r="O32" i="3"/>
  <c r="N33" i="3"/>
  <c r="O33" i="3"/>
  <c r="N31" i="3"/>
  <c r="O31" i="3"/>
  <c r="K30" i="3"/>
  <c r="E30" i="3"/>
  <c r="U30" i="3" s="1"/>
  <c r="D30" i="3"/>
  <c r="C30" i="3"/>
  <c r="B30" i="3"/>
  <c r="A30" i="3"/>
  <c r="K29" i="3"/>
  <c r="E29" i="3"/>
  <c r="U29" i="3" s="1"/>
  <c r="D29" i="3"/>
  <c r="C29" i="3"/>
  <c r="B29" i="3"/>
  <c r="A29" i="3"/>
  <c r="K28" i="3"/>
  <c r="E28" i="3"/>
  <c r="U28" i="3" s="1"/>
  <c r="D28" i="3"/>
  <c r="C28" i="3"/>
  <c r="B28" i="3"/>
  <c r="A28" i="3"/>
  <c r="K27" i="3"/>
  <c r="E27" i="3"/>
  <c r="U27" i="3" s="1"/>
  <c r="D27" i="3"/>
  <c r="C27" i="3"/>
  <c r="B27" i="3"/>
  <c r="A27" i="3"/>
  <c r="K26" i="3"/>
  <c r="E26" i="3"/>
  <c r="U26" i="3" s="1"/>
  <c r="D26" i="3"/>
  <c r="C26" i="3"/>
  <c r="B26" i="3"/>
  <c r="A26" i="3"/>
  <c r="K25" i="3"/>
  <c r="E25" i="3"/>
  <c r="U25" i="3" s="1"/>
  <c r="D25" i="3"/>
  <c r="C25" i="3"/>
  <c r="B25" i="3"/>
  <c r="A25" i="3"/>
  <c r="E24" i="3"/>
  <c r="U24" i="3" s="1"/>
  <c r="D24" i="3"/>
  <c r="C24" i="3"/>
  <c r="B24" i="3"/>
  <c r="A24" i="3"/>
  <c r="E23" i="3"/>
  <c r="U23" i="3" s="1"/>
  <c r="D23" i="3"/>
  <c r="C23" i="3"/>
  <c r="B23" i="3"/>
  <c r="A23" i="3"/>
  <c r="K22" i="3"/>
  <c r="E22" i="3"/>
  <c r="U22" i="3" s="1"/>
  <c r="D22" i="3"/>
  <c r="C22" i="3"/>
  <c r="B22" i="3"/>
  <c r="A22" i="3"/>
  <c r="E21" i="3"/>
  <c r="U21" i="3" s="1"/>
  <c r="D21" i="3"/>
  <c r="C21" i="3"/>
  <c r="B21" i="3"/>
  <c r="A21" i="3"/>
  <c r="E20" i="3"/>
  <c r="U20" i="3" s="1"/>
  <c r="D20" i="3"/>
  <c r="C20" i="3"/>
  <c r="B20" i="3"/>
  <c r="A20" i="3"/>
  <c r="E19" i="3"/>
  <c r="U19" i="3" s="1"/>
  <c r="D19" i="3"/>
  <c r="C19" i="3"/>
  <c r="B19" i="3"/>
  <c r="A19" i="3"/>
  <c r="E18" i="3"/>
  <c r="U18" i="3" s="1"/>
  <c r="D18" i="3"/>
  <c r="C18" i="3"/>
  <c r="B18" i="3"/>
  <c r="A18" i="3"/>
  <c r="E17" i="3"/>
  <c r="U17" i="3" s="1"/>
  <c r="D17" i="3"/>
  <c r="C17" i="3"/>
  <c r="B17" i="3"/>
  <c r="A17" i="3"/>
  <c r="E16" i="3"/>
  <c r="U16" i="3" s="1"/>
  <c r="D16" i="3"/>
  <c r="C16" i="3"/>
  <c r="B16" i="3"/>
  <c r="A16" i="3"/>
  <c r="E15" i="3"/>
  <c r="U15" i="3" s="1"/>
  <c r="D15" i="3"/>
  <c r="C15" i="3"/>
  <c r="B15" i="3"/>
  <c r="A15" i="3"/>
  <c r="E14" i="3"/>
  <c r="U14" i="3" s="1"/>
  <c r="D14" i="3"/>
  <c r="C14" i="3"/>
  <c r="B14" i="3"/>
  <c r="A14" i="3"/>
  <c r="E13" i="3"/>
  <c r="U13" i="3" s="1"/>
  <c r="D13" i="3"/>
  <c r="C13" i="3"/>
  <c r="B13" i="3"/>
  <c r="A13" i="3"/>
  <c r="E12" i="3"/>
  <c r="U12" i="3" s="1"/>
  <c r="D12" i="3"/>
  <c r="C12" i="3"/>
  <c r="B12" i="3"/>
  <c r="A12" i="3"/>
  <c r="E11" i="3"/>
  <c r="U11" i="3" s="1"/>
  <c r="D11" i="3"/>
  <c r="C11" i="3"/>
  <c r="B11" i="3"/>
  <c r="A11" i="3"/>
  <c r="E10" i="3"/>
  <c r="U10" i="3" s="1"/>
  <c r="D10" i="3"/>
  <c r="C10" i="3"/>
  <c r="B10" i="3"/>
  <c r="A10" i="3"/>
  <c r="K9" i="3"/>
  <c r="E9" i="3"/>
  <c r="U9" i="3" s="1"/>
  <c r="D9" i="3"/>
  <c r="C9" i="3"/>
  <c r="B9" i="3"/>
  <c r="A9" i="3"/>
  <c r="K8" i="3"/>
  <c r="E8" i="3"/>
  <c r="U8" i="3" s="1"/>
  <c r="D8" i="3"/>
  <c r="C8" i="3"/>
  <c r="B8" i="3"/>
  <c r="A8" i="3"/>
  <c r="K7" i="3"/>
  <c r="E7" i="3"/>
  <c r="U7" i="3" s="1"/>
  <c r="D7" i="3"/>
  <c r="C7" i="3"/>
  <c r="B7" i="3"/>
  <c r="A7" i="3"/>
  <c r="K6" i="3"/>
  <c r="E6" i="3"/>
  <c r="U6" i="3" s="1"/>
  <c r="D6" i="3"/>
  <c r="C6" i="3"/>
  <c r="B6" i="3"/>
  <c r="A6" i="3"/>
  <c r="K5" i="3"/>
  <c r="E5" i="3"/>
  <c r="U5" i="3" s="1"/>
  <c r="D5" i="3"/>
  <c r="C5" i="3"/>
  <c r="B5" i="3"/>
  <c r="A5" i="3"/>
  <c r="K4" i="3"/>
  <c r="E4" i="3"/>
  <c r="U4" i="3" s="1"/>
  <c r="D4" i="3"/>
  <c r="C4" i="3"/>
  <c r="B4" i="3"/>
  <c r="A4" i="3"/>
  <c r="K3" i="3"/>
  <c r="E3" i="3"/>
  <c r="U3" i="3" s="1"/>
  <c r="D3" i="3"/>
  <c r="C3" i="3"/>
  <c r="B3" i="3"/>
  <c r="A3" i="3"/>
  <c r="D2" i="3"/>
  <c r="C2" i="3"/>
  <c r="B2" i="3"/>
  <c r="A2" i="3"/>
  <c r="AC98" i="2"/>
  <c r="S89" i="2"/>
  <c r="S90" i="2"/>
  <c r="S91" i="2"/>
  <c r="S92" i="2"/>
  <c r="S93" i="2"/>
  <c r="S94" i="2"/>
  <c r="S95" i="2"/>
  <c r="S61" i="2"/>
  <c r="S62" i="2"/>
  <c r="S63" i="2"/>
  <c r="S64" i="2"/>
  <c r="S65" i="2"/>
  <c r="S66" i="2"/>
  <c r="S67" i="2"/>
  <c r="U90" i="2"/>
  <c r="U91" i="2"/>
  <c r="U92" i="2"/>
  <c r="U93" i="2"/>
  <c r="U94" i="2"/>
  <c r="U95" i="2"/>
  <c r="U89" i="2"/>
  <c r="U67" i="2"/>
  <c r="U66" i="2"/>
  <c r="U64" i="2"/>
  <c r="U63" i="2"/>
  <c r="U62" i="2"/>
  <c r="U61" i="2"/>
  <c r="U60" i="2"/>
  <c r="U116" i="2" s="1"/>
  <c r="U59" i="2"/>
  <c r="U115" i="2" s="1"/>
  <c r="U58" i="2"/>
  <c r="U114" i="2" s="1"/>
  <c r="U57" i="2"/>
  <c r="U113" i="2" s="1"/>
  <c r="U56" i="2"/>
  <c r="U112" i="2" s="1"/>
  <c r="U55" i="2"/>
  <c r="U111" i="2" s="1"/>
  <c r="U52" i="2"/>
  <c r="U108" i="2" s="1"/>
  <c r="AA84" i="2"/>
  <c r="AC90" i="2"/>
  <c r="AC91" i="2"/>
  <c r="AC92" i="2"/>
  <c r="AC93" i="2"/>
  <c r="AC94" i="2"/>
  <c r="AC95" i="2"/>
  <c r="AC96" i="2"/>
  <c r="AC97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89" i="2"/>
  <c r="AC62" i="2"/>
  <c r="AC63" i="2"/>
  <c r="AC64" i="2"/>
  <c r="AC65" i="2"/>
  <c r="AC66" i="2"/>
  <c r="AC67" i="2"/>
  <c r="AC68" i="2"/>
  <c r="AC69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61" i="2"/>
  <c r="U65" i="2"/>
  <c r="P95" i="2"/>
  <c r="P94" i="2"/>
  <c r="P93" i="2"/>
  <c r="P92" i="2"/>
  <c r="P91" i="2"/>
  <c r="P90" i="2"/>
  <c r="P89" i="2"/>
  <c r="P62" i="2"/>
  <c r="P63" i="2"/>
  <c r="P64" i="2"/>
  <c r="P65" i="2"/>
  <c r="P66" i="2"/>
  <c r="P67" i="2"/>
  <c r="P61" i="2"/>
  <c r="E33" i="3" l="1"/>
  <c r="U33" i="3" s="1"/>
  <c r="E32" i="3"/>
  <c r="U32" i="3" s="1"/>
  <c r="E31" i="3"/>
  <c r="U31" i="3" s="1"/>
  <c r="U83" i="2"/>
  <c r="U85" i="2"/>
  <c r="U87" i="2"/>
  <c r="U80" i="2"/>
  <c r="U84" i="2"/>
  <c r="U86" i="2"/>
  <c r="U88" i="2"/>
  <c r="K60" i="2"/>
  <c r="K116" i="2" s="1"/>
  <c r="P116" i="2" s="1"/>
  <c r="K59" i="2"/>
  <c r="K87" i="2" s="1"/>
  <c r="P87" i="2" s="1"/>
  <c r="K58" i="2"/>
  <c r="K114" i="2" s="1"/>
  <c r="P114" i="2" s="1"/>
  <c r="K57" i="2"/>
  <c r="K85" i="2" s="1"/>
  <c r="P85" i="2" s="1"/>
  <c r="K56" i="2"/>
  <c r="K112" i="2" s="1"/>
  <c r="P112" i="2" s="1"/>
  <c r="K55" i="2"/>
  <c r="K83" i="2" s="1"/>
  <c r="P83" i="2" s="1"/>
  <c r="K54" i="2"/>
  <c r="K110" i="2" s="1"/>
  <c r="P110" i="2" s="1"/>
  <c r="K53" i="2"/>
  <c r="K81" i="2" s="1"/>
  <c r="P81" i="2" s="1"/>
  <c r="K52" i="2"/>
  <c r="K108" i="2" s="1"/>
  <c r="P108" i="2" s="1"/>
  <c r="K51" i="2"/>
  <c r="K79" i="2" s="1"/>
  <c r="P79" i="2" s="1"/>
  <c r="K50" i="2"/>
  <c r="K106" i="2" s="1"/>
  <c r="P106" i="2" s="1"/>
  <c r="K49" i="2"/>
  <c r="K77" i="2" s="1"/>
  <c r="P77" i="2" s="1"/>
  <c r="K48" i="2"/>
  <c r="K104" i="2" s="1"/>
  <c r="P104" i="2" s="1"/>
  <c r="K47" i="2"/>
  <c r="K75" i="2" s="1"/>
  <c r="P75" i="2" s="1"/>
  <c r="K46" i="2"/>
  <c r="K102" i="2" s="1"/>
  <c r="P102" i="2" s="1"/>
  <c r="K45" i="2"/>
  <c r="K73" i="2" s="1"/>
  <c r="P73" i="2" s="1"/>
  <c r="K44" i="2"/>
  <c r="K100" i="2" s="1"/>
  <c r="P100" i="2" s="1"/>
  <c r="K43" i="2"/>
  <c r="K71" i="2" s="1"/>
  <c r="P71" i="2" s="1"/>
  <c r="K42" i="2"/>
  <c r="K98" i="2" s="1"/>
  <c r="P98" i="2" s="1"/>
  <c r="K41" i="2"/>
  <c r="K69" i="2" s="1"/>
  <c r="P69" i="2" s="1"/>
  <c r="K40" i="2"/>
  <c r="K68" i="2" s="1"/>
  <c r="P68" i="2" s="1"/>
  <c r="R12" i="2"/>
  <c r="P40" i="2" l="1"/>
  <c r="P59" i="2"/>
  <c r="P57" i="2"/>
  <c r="P55" i="2"/>
  <c r="P53" i="2"/>
  <c r="P51" i="2"/>
  <c r="P49" i="2"/>
  <c r="P47" i="2"/>
  <c r="P45" i="2"/>
  <c r="P43" i="2"/>
  <c r="P41" i="2"/>
  <c r="K88" i="2"/>
  <c r="P88" i="2" s="1"/>
  <c r="K86" i="2"/>
  <c r="P86" i="2" s="1"/>
  <c r="K84" i="2"/>
  <c r="P84" i="2" s="1"/>
  <c r="K82" i="2"/>
  <c r="P82" i="2" s="1"/>
  <c r="K80" i="2"/>
  <c r="P80" i="2" s="1"/>
  <c r="K78" i="2"/>
  <c r="P78" i="2" s="1"/>
  <c r="K76" i="2"/>
  <c r="P76" i="2" s="1"/>
  <c r="K74" i="2"/>
  <c r="P74" i="2" s="1"/>
  <c r="K72" i="2"/>
  <c r="P72" i="2" s="1"/>
  <c r="K70" i="2"/>
  <c r="P70" i="2" s="1"/>
  <c r="K96" i="2"/>
  <c r="P96" i="2" s="1"/>
  <c r="K115" i="2"/>
  <c r="P115" i="2" s="1"/>
  <c r="K113" i="2"/>
  <c r="P113" i="2" s="1"/>
  <c r="K111" i="2"/>
  <c r="P111" i="2" s="1"/>
  <c r="K109" i="2"/>
  <c r="P109" i="2" s="1"/>
  <c r="K107" i="2"/>
  <c r="P107" i="2" s="1"/>
  <c r="K105" i="2"/>
  <c r="P105" i="2" s="1"/>
  <c r="K103" i="2"/>
  <c r="P103" i="2" s="1"/>
  <c r="K101" i="2"/>
  <c r="P101" i="2" s="1"/>
  <c r="K99" i="2"/>
  <c r="P99" i="2" s="1"/>
  <c r="K97" i="2"/>
  <c r="P97" i="2" s="1"/>
  <c r="P60" i="2"/>
  <c r="P58" i="2"/>
  <c r="P56" i="2"/>
  <c r="P54" i="2"/>
  <c r="P52" i="2"/>
  <c r="P50" i="2"/>
  <c r="P48" i="2"/>
  <c r="P46" i="2"/>
  <c r="P44" i="2"/>
  <c r="P42" i="2"/>
  <c r="AK32" i="2"/>
  <c r="AD32" i="2"/>
  <c r="AB32" i="2"/>
  <c r="Z32" i="2"/>
  <c r="X32" i="2"/>
  <c r="V32" i="2"/>
  <c r="T32" i="2"/>
  <c r="R32" i="2"/>
  <c r="H32" i="2"/>
  <c r="AK31" i="2"/>
  <c r="AD31" i="2"/>
  <c r="AB31" i="2"/>
  <c r="Z31" i="2"/>
  <c r="X31" i="2"/>
  <c r="V31" i="2"/>
  <c r="T31" i="2"/>
  <c r="R31" i="2"/>
  <c r="H31" i="2"/>
  <c r="AK30" i="2"/>
  <c r="AD30" i="2"/>
  <c r="AB30" i="2"/>
  <c r="Z30" i="2"/>
  <c r="X30" i="2"/>
  <c r="V30" i="2"/>
  <c r="T30" i="2"/>
  <c r="R30" i="2"/>
  <c r="H30" i="2"/>
  <c r="AK29" i="2"/>
  <c r="AD29" i="2"/>
  <c r="AB29" i="2"/>
  <c r="Z29" i="2"/>
  <c r="X29" i="2"/>
  <c r="V29" i="2"/>
  <c r="T29" i="2"/>
  <c r="R29" i="2"/>
  <c r="H29" i="2"/>
  <c r="AK28" i="2"/>
  <c r="AD28" i="2"/>
  <c r="AB28" i="2"/>
  <c r="Z28" i="2"/>
  <c r="X28" i="2"/>
  <c r="V28" i="2"/>
  <c r="T28" i="2"/>
  <c r="R28" i="2"/>
  <c r="H28" i="2"/>
  <c r="AK27" i="2"/>
  <c r="AD27" i="2"/>
  <c r="AB27" i="2"/>
  <c r="Z27" i="2"/>
  <c r="X27" i="2"/>
  <c r="V27" i="2"/>
  <c r="T27" i="2"/>
  <c r="R27" i="2"/>
  <c r="H27" i="2"/>
  <c r="AK26" i="2"/>
  <c r="AD26" i="2"/>
  <c r="AB26" i="2"/>
  <c r="Z26" i="2"/>
  <c r="X26" i="2"/>
  <c r="V26" i="2"/>
  <c r="T26" i="2"/>
  <c r="R26" i="2"/>
  <c r="H26" i="2"/>
  <c r="AK25" i="2"/>
  <c r="AD25" i="2"/>
  <c r="AB25" i="2"/>
  <c r="Z25" i="2"/>
  <c r="X25" i="2"/>
  <c r="V25" i="2"/>
  <c r="T25" i="2"/>
  <c r="R25" i="2"/>
  <c r="H25" i="2"/>
  <c r="AK24" i="2"/>
  <c r="AD24" i="2"/>
  <c r="AB24" i="2"/>
  <c r="Z24" i="2"/>
  <c r="X24" i="2"/>
  <c r="V24" i="2"/>
  <c r="T24" i="2"/>
  <c r="R24" i="2"/>
  <c r="H24" i="2"/>
  <c r="AK23" i="2"/>
  <c r="AD23" i="2"/>
  <c r="AB23" i="2"/>
  <c r="Z23" i="2"/>
  <c r="X23" i="2"/>
  <c r="V23" i="2"/>
  <c r="T23" i="2"/>
  <c r="R23" i="2"/>
  <c r="H23" i="2"/>
  <c r="AK22" i="2"/>
  <c r="AD22" i="2"/>
  <c r="AB22" i="2"/>
  <c r="Z22" i="2"/>
  <c r="X22" i="2"/>
  <c r="V22" i="2"/>
  <c r="T22" i="2"/>
  <c r="R22" i="2"/>
  <c r="H22" i="2"/>
  <c r="AK21" i="2"/>
  <c r="AD21" i="2"/>
  <c r="AB21" i="2"/>
  <c r="Z21" i="2"/>
  <c r="X21" i="2"/>
  <c r="V21" i="2"/>
  <c r="T21" i="2"/>
  <c r="R21" i="2"/>
  <c r="H21" i="2"/>
  <c r="AK20" i="2"/>
  <c r="AD20" i="2"/>
  <c r="AB20" i="2"/>
  <c r="Z20" i="2"/>
  <c r="X20" i="2"/>
  <c r="V20" i="2"/>
  <c r="T20" i="2"/>
  <c r="R20" i="2"/>
  <c r="H20" i="2"/>
  <c r="AK19" i="2"/>
  <c r="AD19" i="2"/>
  <c r="AB19" i="2"/>
  <c r="Z19" i="2"/>
  <c r="X19" i="2"/>
  <c r="V19" i="2"/>
  <c r="T19" i="2"/>
  <c r="R19" i="2"/>
  <c r="H19" i="2"/>
  <c r="AK18" i="2"/>
  <c r="AD18" i="2"/>
  <c r="AB18" i="2"/>
  <c r="Z18" i="2"/>
  <c r="X18" i="2"/>
  <c r="V18" i="2"/>
  <c r="T18" i="2"/>
  <c r="R18" i="2"/>
  <c r="H18" i="2"/>
  <c r="AK17" i="2"/>
  <c r="AD17" i="2"/>
  <c r="AB17" i="2"/>
  <c r="Z17" i="2"/>
  <c r="X17" i="2"/>
  <c r="V17" i="2"/>
  <c r="T17" i="2"/>
  <c r="R17" i="2"/>
  <c r="H17" i="2"/>
  <c r="AK16" i="2"/>
  <c r="AD16" i="2"/>
  <c r="AB16" i="2"/>
  <c r="Z16" i="2"/>
  <c r="X16" i="2"/>
  <c r="V16" i="2"/>
  <c r="T16" i="2"/>
  <c r="R16" i="2"/>
  <c r="H16" i="2"/>
  <c r="AK15" i="2"/>
  <c r="AD15" i="2"/>
  <c r="AB15" i="2"/>
  <c r="Z15" i="2"/>
  <c r="X15" i="2"/>
  <c r="V15" i="2"/>
  <c r="T15" i="2"/>
  <c r="R15" i="2"/>
  <c r="H15" i="2"/>
  <c r="AK14" i="2"/>
  <c r="AD14" i="2"/>
  <c r="AB14" i="2"/>
  <c r="Z14" i="2"/>
  <c r="X14" i="2"/>
  <c r="V14" i="2"/>
  <c r="T14" i="2"/>
  <c r="R14" i="2"/>
  <c r="H14" i="2"/>
  <c r="AK13" i="2"/>
  <c r="AD13" i="2"/>
  <c r="AB13" i="2"/>
  <c r="Z13" i="2"/>
  <c r="X13" i="2"/>
  <c r="V13" i="2"/>
  <c r="T13" i="2"/>
  <c r="R13" i="2"/>
  <c r="H13" i="2"/>
  <c r="AK12" i="2"/>
  <c r="AD12" i="2"/>
  <c r="AB12" i="2"/>
  <c r="Z12" i="2"/>
  <c r="X12" i="2"/>
  <c r="V12" i="2"/>
  <c r="T12" i="2"/>
  <c r="H12" i="2"/>
  <c r="U54" i="2"/>
  <c r="U53" i="2"/>
  <c r="U51" i="2"/>
  <c r="U50" i="2"/>
  <c r="U49" i="2"/>
  <c r="U48" i="2"/>
  <c r="U47" i="2"/>
  <c r="U46" i="2"/>
  <c r="U45" i="2"/>
  <c r="U44" i="2"/>
  <c r="U43" i="2"/>
  <c r="U42" i="2"/>
  <c r="U41" i="2"/>
  <c r="U40" i="2"/>
  <c r="U99" i="2" l="1"/>
  <c r="U71" i="2"/>
  <c r="U96" i="2"/>
  <c r="U68" i="2"/>
  <c r="U98" i="2"/>
  <c r="U70" i="2"/>
  <c r="U100" i="2"/>
  <c r="U72" i="2"/>
  <c r="U102" i="2"/>
  <c r="U74" i="2"/>
  <c r="U104" i="2"/>
  <c r="U76" i="2"/>
  <c r="U106" i="2"/>
  <c r="U78" i="2"/>
  <c r="U109" i="2"/>
  <c r="U81" i="2"/>
  <c r="K10" i="3"/>
  <c r="K12" i="3"/>
  <c r="K14" i="3"/>
  <c r="K16" i="3"/>
  <c r="K18" i="3"/>
  <c r="K20" i="3"/>
  <c r="K23" i="3"/>
  <c r="U97" i="2"/>
  <c r="U69" i="2"/>
  <c r="U101" i="2"/>
  <c r="U73" i="2"/>
  <c r="U103" i="2"/>
  <c r="U75" i="2"/>
  <c r="U105" i="2"/>
  <c r="U77" i="2"/>
  <c r="U107" i="2"/>
  <c r="U79" i="2"/>
  <c r="U110" i="2"/>
  <c r="U82" i="2"/>
  <c r="K11" i="3"/>
  <c r="K13" i="3"/>
  <c r="K15" i="3"/>
  <c r="K17" i="3"/>
  <c r="K19" i="3"/>
  <c r="K21" i="3"/>
  <c r="K24" i="3"/>
  <c r="AE13" i="2"/>
  <c r="AI13" i="2" s="1"/>
  <c r="AF13" i="2" s="1"/>
  <c r="AH13" i="2" s="1"/>
  <c r="AL13" i="2" s="1"/>
  <c r="AW13" i="2" s="1"/>
  <c r="F11" i="3" s="1"/>
  <c r="AE14" i="2"/>
  <c r="AI14" i="2" s="1"/>
  <c r="AF14" i="2" s="1"/>
  <c r="AH14" i="2" s="1"/>
  <c r="AL14" i="2" s="1"/>
  <c r="AW14" i="2" s="1"/>
  <c r="F12" i="3" s="1"/>
  <c r="AE15" i="2"/>
  <c r="AI15" i="2" s="1"/>
  <c r="AF15" i="2" s="1"/>
  <c r="AH15" i="2" s="1"/>
  <c r="AL15" i="2" s="1"/>
  <c r="AW15" i="2" s="1"/>
  <c r="F13" i="3" s="1"/>
  <c r="AE16" i="2"/>
  <c r="AI16" i="2" s="1"/>
  <c r="AF16" i="2" s="1"/>
  <c r="AH16" i="2" s="1"/>
  <c r="AL16" i="2" s="1"/>
  <c r="AW16" i="2" s="1"/>
  <c r="F14" i="3" s="1"/>
  <c r="AE17" i="2"/>
  <c r="AI17" i="2" s="1"/>
  <c r="AF17" i="2" s="1"/>
  <c r="AH17" i="2" s="1"/>
  <c r="AL17" i="2" s="1"/>
  <c r="AW17" i="2" s="1"/>
  <c r="F15" i="3" s="1"/>
  <c r="AE18" i="2"/>
  <c r="AI18" i="2" s="1"/>
  <c r="AF18" i="2" s="1"/>
  <c r="AH18" i="2" s="1"/>
  <c r="AL18" i="2" s="1"/>
  <c r="AW18" i="2" s="1"/>
  <c r="F16" i="3" s="1"/>
  <c r="AE19" i="2"/>
  <c r="AI19" i="2" s="1"/>
  <c r="AF19" i="2" s="1"/>
  <c r="AH19" i="2" s="1"/>
  <c r="AL19" i="2" s="1"/>
  <c r="AW19" i="2" s="1"/>
  <c r="AE20" i="2"/>
  <c r="AI20" i="2" s="1"/>
  <c r="AF20" i="2" s="1"/>
  <c r="AH20" i="2" s="1"/>
  <c r="AL20" i="2" s="1"/>
  <c r="AW20" i="2" s="1"/>
  <c r="AE21" i="2"/>
  <c r="AI21" i="2" s="1"/>
  <c r="AF21" i="2" s="1"/>
  <c r="AH21" i="2" s="1"/>
  <c r="AL21" i="2" s="1"/>
  <c r="AW21" i="2" s="1"/>
  <c r="AE22" i="2"/>
  <c r="AI22" i="2" s="1"/>
  <c r="AF22" i="2" s="1"/>
  <c r="AH22" i="2" s="1"/>
  <c r="AL22" i="2" s="1"/>
  <c r="AW22" i="2" s="1"/>
  <c r="AE23" i="2"/>
  <c r="AI23" i="2" s="1"/>
  <c r="AF23" i="2" s="1"/>
  <c r="AH23" i="2" s="1"/>
  <c r="AL23" i="2" s="1"/>
  <c r="AW23" i="2" s="1"/>
  <c r="AE24" i="2"/>
  <c r="AI24" i="2" s="1"/>
  <c r="AF24" i="2" s="1"/>
  <c r="AH24" i="2" s="1"/>
  <c r="AL24" i="2" s="1"/>
  <c r="AW24" i="2" s="1"/>
  <c r="AE25" i="2"/>
  <c r="AI25" i="2" s="1"/>
  <c r="AF25" i="2" s="1"/>
  <c r="AH25" i="2" s="1"/>
  <c r="AL25" i="2" s="1"/>
  <c r="AW25" i="2" s="1"/>
  <c r="AE26" i="2"/>
  <c r="AI26" i="2" s="1"/>
  <c r="AF26" i="2" s="1"/>
  <c r="AH26" i="2" s="1"/>
  <c r="AL26" i="2" s="1"/>
  <c r="AW26" i="2" s="1"/>
  <c r="AE27" i="2"/>
  <c r="AI27" i="2" s="1"/>
  <c r="AF27" i="2" s="1"/>
  <c r="AH27" i="2" s="1"/>
  <c r="AL27" i="2" s="1"/>
  <c r="AW27" i="2" s="1"/>
  <c r="AE28" i="2"/>
  <c r="AI28" i="2" s="1"/>
  <c r="AF28" i="2" s="1"/>
  <c r="AH28" i="2" s="1"/>
  <c r="AL28" i="2" s="1"/>
  <c r="AW28" i="2" s="1"/>
  <c r="AE29" i="2"/>
  <c r="AI29" i="2" s="1"/>
  <c r="AF29" i="2" s="1"/>
  <c r="AH29" i="2" s="1"/>
  <c r="AL29" i="2" s="1"/>
  <c r="AW29" i="2" s="1"/>
  <c r="AE30" i="2"/>
  <c r="AI30" i="2" s="1"/>
  <c r="AF30" i="2" s="1"/>
  <c r="AH30" i="2" s="1"/>
  <c r="AL30" i="2" s="1"/>
  <c r="AW30" i="2" s="1"/>
  <c r="AE31" i="2"/>
  <c r="AI31" i="2" s="1"/>
  <c r="AF31" i="2" s="1"/>
  <c r="AH31" i="2" s="1"/>
  <c r="AL31" i="2" s="1"/>
  <c r="AW31" i="2" s="1"/>
  <c r="AE32" i="2"/>
  <c r="AI32" i="2" s="1"/>
  <c r="AF32" i="2" s="1"/>
  <c r="AH32" i="2" s="1"/>
  <c r="AL32" i="2" s="1"/>
  <c r="AW32" i="2" s="1"/>
  <c r="AE12" i="2"/>
  <c r="AI12" i="2" s="1"/>
  <c r="AF12" i="2" s="1"/>
  <c r="AH12" i="2" s="1"/>
  <c r="AL12" i="2" s="1"/>
  <c r="AW12" i="2" s="1"/>
  <c r="F10" i="3" s="1"/>
  <c r="F27" i="3" l="1"/>
  <c r="F25" i="3"/>
  <c r="V12" i="3"/>
  <c r="F19" i="3"/>
  <c r="V23" i="3"/>
  <c r="F30" i="3"/>
  <c r="V21" i="3"/>
  <c r="F28" i="3"/>
  <c r="V19" i="3"/>
  <c r="F26" i="3"/>
  <c r="V17" i="3"/>
  <c r="F24" i="3"/>
  <c r="V15" i="3"/>
  <c r="F22" i="3"/>
  <c r="V13" i="3"/>
  <c r="F20" i="3"/>
  <c r="V20" i="3" s="1"/>
  <c r="V11" i="3"/>
  <c r="F18" i="3"/>
  <c r="V18" i="3" s="1"/>
  <c r="V22" i="3"/>
  <c r="F29" i="3"/>
  <c r="V16" i="3"/>
  <c r="F23" i="3"/>
  <c r="V14" i="3"/>
  <c r="F21" i="3"/>
  <c r="V10" i="3"/>
  <c r="F17" i="3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113" i="2"/>
  <c r="AK114" i="2"/>
  <c r="AK115" i="2"/>
  <c r="AK116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C103" i="2"/>
  <c r="D103" i="2"/>
  <c r="E103" i="2"/>
  <c r="F103" i="2"/>
  <c r="G103" i="2"/>
  <c r="AD103" i="2" s="1"/>
  <c r="C104" i="2"/>
  <c r="D104" i="2"/>
  <c r="E104" i="2"/>
  <c r="F104" i="2"/>
  <c r="G104" i="2"/>
  <c r="C105" i="2"/>
  <c r="D105" i="2"/>
  <c r="E105" i="2"/>
  <c r="F105" i="2"/>
  <c r="G105" i="2"/>
  <c r="AD105" i="2" s="1"/>
  <c r="C106" i="2"/>
  <c r="D106" i="2"/>
  <c r="E106" i="2"/>
  <c r="F106" i="2"/>
  <c r="G106" i="2"/>
  <c r="AD106" i="2" s="1"/>
  <c r="C107" i="2"/>
  <c r="D107" i="2"/>
  <c r="E107" i="2"/>
  <c r="F107" i="2"/>
  <c r="G107" i="2"/>
  <c r="C108" i="2"/>
  <c r="D108" i="2"/>
  <c r="E108" i="2"/>
  <c r="F108" i="2"/>
  <c r="G108" i="2"/>
  <c r="AD108" i="2" s="1"/>
  <c r="C109" i="2"/>
  <c r="D109" i="2"/>
  <c r="E109" i="2"/>
  <c r="F109" i="2"/>
  <c r="G109" i="2"/>
  <c r="C110" i="2"/>
  <c r="D110" i="2"/>
  <c r="E110" i="2"/>
  <c r="F110" i="2"/>
  <c r="G110" i="2"/>
  <c r="AD110" i="2" s="1"/>
  <c r="C111" i="2"/>
  <c r="D111" i="2"/>
  <c r="E111" i="2"/>
  <c r="C112" i="2"/>
  <c r="D112" i="2"/>
  <c r="E112" i="2"/>
  <c r="C113" i="2"/>
  <c r="D113" i="2"/>
  <c r="E113" i="2"/>
  <c r="C114" i="2"/>
  <c r="D114" i="2"/>
  <c r="E114" i="2"/>
  <c r="C115" i="2"/>
  <c r="D115" i="2"/>
  <c r="E115" i="2"/>
  <c r="C116" i="2"/>
  <c r="D116" i="2"/>
  <c r="E116" i="2"/>
  <c r="C90" i="2"/>
  <c r="D90" i="2"/>
  <c r="E90" i="2"/>
  <c r="F90" i="2"/>
  <c r="G90" i="2"/>
  <c r="AB90" i="2" s="1"/>
  <c r="C91" i="2"/>
  <c r="D91" i="2"/>
  <c r="E91" i="2"/>
  <c r="F91" i="2"/>
  <c r="G91" i="2"/>
  <c r="AD91" i="2" s="1"/>
  <c r="C92" i="2"/>
  <c r="D92" i="2"/>
  <c r="E92" i="2"/>
  <c r="F92" i="2"/>
  <c r="G92" i="2"/>
  <c r="AB92" i="2" s="1"/>
  <c r="C93" i="2"/>
  <c r="D93" i="2"/>
  <c r="E93" i="2"/>
  <c r="F93" i="2"/>
  <c r="G93" i="2"/>
  <c r="AD93" i="2" s="1"/>
  <c r="C94" i="2"/>
  <c r="D94" i="2"/>
  <c r="E94" i="2"/>
  <c r="F94" i="2"/>
  <c r="G94" i="2"/>
  <c r="AB94" i="2" s="1"/>
  <c r="C95" i="2"/>
  <c r="D95" i="2"/>
  <c r="E95" i="2"/>
  <c r="F95" i="2"/>
  <c r="G95" i="2"/>
  <c r="AD95" i="2" s="1"/>
  <c r="C96" i="2"/>
  <c r="D96" i="2"/>
  <c r="E96" i="2"/>
  <c r="F96" i="2"/>
  <c r="G96" i="2"/>
  <c r="C97" i="2"/>
  <c r="D97" i="2"/>
  <c r="E97" i="2"/>
  <c r="F97" i="2"/>
  <c r="G97" i="2"/>
  <c r="AD97" i="2" s="1"/>
  <c r="C98" i="2"/>
  <c r="D98" i="2"/>
  <c r="E98" i="2"/>
  <c r="F98" i="2"/>
  <c r="G98" i="2"/>
  <c r="C99" i="2"/>
  <c r="D99" i="2"/>
  <c r="E99" i="2"/>
  <c r="F99" i="2"/>
  <c r="G99" i="2"/>
  <c r="AD99" i="2" s="1"/>
  <c r="C100" i="2"/>
  <c r="D100" i="2"/>
  <c r="E100" i="2"/>
  <c r="F100" i="2"/>
  <c r="G100" i="2"/>
  <c r="C101" i="2"/>
  <c r="D101" i="2"/>
  <c r="E101" i="2"/>
  <c r="F101" i="2"/>
  <c r="G101" i="2"/>
  <c r="AD101" i="2" s="1"/>
  <c r="C102" i="2"/>
  <c r="D102" i="2"/>
  <c r="E102" i="2"/>
  <c r="F102" i="2"/>
  <c r="G102" i="2"/>
  <c r="D89" i="2"/>
  <c r="E89" i="2"/>
  <c r="F89" i="2"/>
  <c r="G89" i="2"/>
  <c r="AD89" i="2" s="1"/>
  <c r="C89" i="2"/>
  <c r="D69" i="2"/>
  <c r="E69" i="2"/>
  <c r="F69" i="2"/>
  <c r="G69" i="2"/>
  <c r="D70" i="2"/>
  <c r="E70" i="2"/>
  <c r="F70" i="2"/>
  <c r="G70" i="2"/>
  <c r="D71" i="2"/>
  <c r="E71" i="2"/>
  <c r="F71" i="2"/>
  <c r="G71" i="2"/>
  <c r="AD71" i="2" s="1"/>
  <c r="D72" i="2"/>
  <c r="E72" i="2"/>
  <c r="F72" i="2"/>
  <c r="G72" i="2"/>
  <c r="AD72" i="2" s="1"/>
  <c r="D73" i="2"/>
  <c r="E73" i="2"/>
  <c r="F73" i="2"/>
  <c r="G73" i="2"/>
  <c r="AD73" i="2" s="1"/>
  <c r="D74" i="2"/>
  <c r="E74" i="2"/>
  <c r="F74" i="2"/>
  <c r="G74" i="2"/>
  <c r="AD74" i="2" s="1"/>
  <c r="D75" i="2"/>
  <c r="E75" i="2"/>
  <c r="F75" i="2"/>
  <c r="G75" i="2"/>
  <c r="AD75" i="2" s="1"/>
  <c r="D76" i="2"/>
  <c r="E76" i="2"/>
  <c r="F76" i="2"/>
  <c r="G76" i="2"/>
  <c r="AD76" i="2" s="1"/>
  <c r="D77" i="2"/>
  <c r="E77" i="2"/>
  <c r="F77" i="2"/>
  <c r="G77" i="2"/>
  <c r="AD77" i="2" s="1"/>
  <c r="D78" i="2"/>
  <c r="E78" i="2"/>
  <c r="F78" i="2"/>
  <c r="G78" i="2"/>
  <c r="D79" i="2"/>
  <c r="E79" i="2"/>
  <c r="F79" i="2"/>
  <c r="G79" i="2"/>
  <c r="D80" i="2"/>
  <c r="E80" i="2"/>
  <c r="F80" i="2"/>
  <c r="G80" i="2"/>
  <c r="D81" i="2"/>
  <c r="E81" i="2"/>
  <c r="F81" i="2"/>
  <c r="G81" i="2"/>
  <c r="D82" i="2"/>
  <c r="E82" i="2"/>
  <c r="F82" i="2"/>
  <c r="G82" i="2"/>
  <c r="D83" i="2"/>
  <c r="E83" i="2"/>
  <c r="F83" i="2"/>
  <c r="G83" i="2"/>
  <c r="D84" i="2"/>
  <c r="E84" i="2"/>
  <c r="F84" i="2"/>
  <c r="G84" i="2"/>
  <c r="AD84" i="2" s="1"/>
  <c r="D85" i="2"/>
  <c r="E85" i="2"/>
  <c r="F85" i="2"/>
  <c r="G85" i="2"/>
  <c r="D86" i="2"/>
  <c r="E86" i="2"/>
  <c r="F86" i="2"/>
  <c r="G86" i="2"/>
  <c r="AD86" i="2" s="1"/>
  <c r="D87" i="2"/>
  <c r="E87" i="2"/>
  <c r="F87" i="2"/>
  <c r="G87" i="2"/>
  <c r="D88" i="2"/>
  <c r="E88" i="2"/>
  <c r="F88" i="2"/>
  <c r="G88" i="2"/>
  <c r="AD88" i="2" s="1"/>
  <c r="E68" i="2"/>
  <c r="F68" i="2"/>
  <c r="G68" i="2"/>
  <c r="D62" i="2"/>
  <c r="E62" i="2"/>
  <c r="F62" i="2"/>
  <c r="G62" i="2"/>
  <c r="AD62" i="2" s="1"/>
  <c r="D63" i="2"/>
  <c r="E63" i="2"/>
  <c r="F63" i="2"/>
  <c r="G63" i="2"/>
  <c r="AB63" i="2" s="1"/>
  <c r="D64" i="2"/>
  <c r="E64" i="2"/>
  <c r="F64" i="2"/>
  <c r="G64" i="2"/>
  <c r="AD64" i="2" s="1"/>
  <c r="D65" i="2"/>
  <c r="E65" i="2"/>
  <c r="F65" i="2"/>
  <c r="G65" i="2"/>
  <c r="AB65" i="2" s="1"/>
  <c r="D66" i="2"/>
  <c r="E66" i="2"/>
  <c r="F66" i="2"/>
  <c r="G66" i="2"/>
  <c r="AD66" i="2" s="1"/>
  <c r="D67" i="2"/>
  <c r="E67" i="2"/>
  <c r="F67" i="2"/>
  <c r="G67" i="2"/>
  <c r="AB67" i="2" s="1"/>
  <c r="E61" i="2"/>
  <c r="F61" i="2"/>
  <c r="G61" i="2"/>
  <c r="C62" i="2"/>
  <c r="C63" i="2"/>
  <c r="C64" i="2"/>
  <c r="C65" i="2"/>
  <c r="C66" i="2"/>
  <c r="C67" i="2"/>
  <c r="C68" i="2"/>
  <c r="D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D61" i="2"/>
  <c r="C61" i="2"/>
  <c r="AE42" i="2" l="1"/>
  <c r="AI42" i="2" s="1"/>
  <c r="AF42" i="2" s="1"/>
  <c r="AH42" i="2" s="1"/>
  <c r="AL42" i="2" s="1"/>
  <c r="AW42" i="2" s="1"/>
  <c r="G12" i="3" s="1"/>
  <c r="W12" i="3" s="1"/>
  <c r="H98" i="2"/>
  <c r="H94" i="2"/>
  <c r="H92" i="2"/>
  <c r="H90" i="2"/>
  <c r="H70" i="2"/>
  <c r="H66" i="2"/>
  <c r="H64" i="2"/>
  <c r="H62" i="2"/>
  <c r="R98" i="2"/>
  <c r="R94" i="2"/>
  <c r="R92" i="2"/>
  <c r="R90" i="2"/>
  <c r="R70" i="2"/>
  <c r="R66" i="2"/>
  <c r="R64" i="2"/>
  <c r="R62" i="2"/>
  <c r="T95" i="2"/>
  <c r="T93" i="2"/>
  <c r="T91" i="2"/>
  <c r="T89" i="2"/>
  <c r="T67" i="2"/>
  <c r="T65" i="2"/>
  <c r="T63" i="2"/>
  <c r="T61" i="2"/>
  <c r="V98" i="2"/>
  <c r="V94" i="2"/>
  <c r="V92" i="2"/>
  <c r="V90" i="2"/>
  <c r="V70" i="2"/>
  <c r="V66" i="2"/>
  <c r="V64" i="2"/>
  <c r="V62" i="2"/>
  <c r="X95" i="2"/>
  <c r="X93" i="2"/>
  <c r="X91" i="2"/>
  <c r="X89" i="2"/>
  <c r="X67" i="2"/>
  <c r="X65" i="2"/>
  <c r="X63" i="2"/>
  <c r="X61" i="2"/>
  <c r="Z98" i="2"/>
  <c r="Z94" i="2"/>
  <c r="Z92" i="2"/>
  <c r="Z90" i="2"/>
  <c r="Z70" i="2"/>
  <c r="Z66" i="2"/>
  <c r="Z64" i="2"/>
  <c r="Z62" i="2"/>
  <c r="AB95" i="2"/>
  <c r="AB93" i="2"/>
  <c r="AB91" i="2"/>
  <c r="AB89" i="2"/>
  <c r="AB61" i="2"/>
  <c r="AD98" i="2"/>
  <c r="AD94" i="2"/>
  <c r="AD92" i="2"/>
  <c r="AD90" i="2"/>
  <c r="AD70" i="2"/>
  <c r="H95" i="2"/>
  <c r="H93" i="2"/>
  <c r="H91" i="2"/>
  <c r="H89" i="2"/>
  <c r="H67" i="2"/>
  <c r="H65" i="2"/>
  <c r="H63" i="2"/>
  <c r="H61" i="2"/>
  <c r="R103" i="2"/>
  <c r="R95" i="2"/>
  <c r="R93" i="2"/>
  <c r="R91" i="2"/>
  <c r="R89" i="2"/>
  <c r="R67" i="2"/>
  <c r="R65" i="2"/>
  <c r="R63" i="2"/>
  <c r="R61" i="2"/>
  <c r="T98" i="2"/>
  <c r="T94" i="2"/>
  <c r="T92" i="2"/>
  <c r="T90" i="2"/>
  <c r="T70" i="2"/>
  <c r="T66" i="2"/>
  <c r="T64" i="2"/>
  <c r="T62" i="2"/>
  <c r="V95" i="2"/>
  <c r="V93" i="2"/>
  <c r="V91" i="2"/>
  <c r="V89" i="2"/>
  <c r="V67" i="2"/>
  <c r="V65" i="2"/>
  <c r="V63" i="2"/>
  <c r="V61" i="2"/>
  <c r="X98" i="2"/>
  <c r="X94" i="2"/>
  <c r="X92" i="2"/>
  <c r="X90" i="2"/>
  <c r="X70" i="2"/>
  <c r="X66" i="2"/>
  <c r="X64" i="2"/>
  <c r="X62" i="2"/>
  <c r="Z95" i="2"/>
  <c r="Z93" i="2"/>
  <c r="Z91" i="2"/>
  <c r="Z89" i="2"/>
  <c r="Z67" i="2"/>
  <c r="Z65" i="2"/>
  <c r="Z63" i="2"/>
  <c r="Z61" i="2"/>
  <c r="AB98" i="2"/>
  <c r="AB70" i="2"/>
  <c r="AB66" i="2"/>
  <c r="AB64" i="2"/>
  <c r="AB62" i="2"/>
  <c r="AD67" i="2"/>
  <c r="AD65" i="2"/>
  <c r="AD63" i="2"/>
  <c r="AD61" i="2"/>
  <c r="AE94" i="2"/>
  <c r="AI94" i="2" s="1"/>
  <c r="AF94" i="2" s="1"/>
  <c r="AH94" i="2" s="1"/>
  <c r="AL94" i="2" s="1"/>
  <c r="AW94" i="2" s="1"/>
  <c r="I8" i="3" s="1"/>
  <c r="Y8" i="3" s="1"/>
  <c r="H116" i="2"/>
  <c r="T88" i="2"/>
  <c r="V116" i="2"/>
  <c r="X88" i="2"/>
  <c r="Z116" i="2"/>
  <c r="AB88" i="2"/>
  <c r="AD116" i="2"/>
  <c r="H88" i="2"/>
  <c r="R116" i="2"/>
  <c r="R88" i="2"/>
  <c r="T116" i="2"/>
  <c r="V88" i="2"/>
  <c r="X116" i="2"/>
  <c r="Z88" i="2"/>
  <c r="AB116" i="2"/>
  <c r="H115" i="2"/>
  <c r="H87" i="2"/>
  <c r="R87" i="2"/>
  <c r="V115" i="2"/>
  <c r="V87" i="2"/>
  <c r="Z115" i="2"/>
  <c r="Z87" i="2"/>
  <c r="AD115" i="2"/>
  <c r="AD87" i="2"/>
  <c r="R115" i="2"/>
  <c r="T115" i="2"/>
  <c r="T87" i="2"/>
  <c r="X115" i="2"/>
  <c r="X87" i="2"/>
  <c r="AB115" i="2"/>
  <c r="AB87" i="2"/>
  <c r="H114" i="2"/>
  <c r="T86" i="2"/>
  <c r="V114" i="2"/>
  <c r="X86" i="2"/>
  <c r="Z114" i="2"/>
  <c r="AB86" i="2"/>
  <c r="AD114" i="2"/>
  <c r="H86" i="2"/>
  <c r="R114" i="2"/>
  <c r="R86" i="2"/>
  <c r="T114" i="2"/>
  <c r="V86" i="2"/>
  <c r="X114" i="2"/>
  <c r="Z86" i="2"/>
  <c r="AB114" i="2"/>
  <c r="H113" i="2"/>
  <c r="H85" i="2"/>
  <c r="R85" i="2"/>
  <c r="V113" i="2"/>
  <c r="V85" i="2"/>
  <c r="Z113" i="2"/>
  <c r="Z85" i="2"/>
  <c r="AD113" i="2"/>
  <c r="AD85" i="2"/>
  <c r="R113" i="2"/>
  <c r="T113" i="2"/>
  <c r="T85" i="2"/>
  <c r="X113" i="2"/>
  <c r="X85" i="2"/>
  <c r="AB113" i="2"/>
  <c r="AB85" i="2"/>
  <c r="H112" i="2"/>
  <c r="T84" i="2"/>
  <c r="V112" i="2"/>
  <c r="X84" i="2"/>
  <c r="Z112" i="2"/>
  <c r="AB84" i="2"/>
  <c r="AD112" i="2"/>
  <c r="H84" i="2"/>
  <c r="R112" i="2"/>
  <c r="R84" i="2"/>
  <c r="T112" i="2"/>
  <c r="V84" i="2"/>
  <c r="X112" i="2"/>
  <c r="Z84" i="2"/>
  <c r="AB112" i="2"/>
  <c r="H111" i="2"/>
  <c r="H83" i="2"/>
  <c r="R83" i="2"/>
  <c r="V111" i="2"/>
  <c r="V83" i="2"/>
  <c r="Z111" i="2"/>
  <c r="Z83" i="2"/>
  <c r="AD111" i="2"/>
  <c r="AD83" i="2"/>
  <c r="R111" i="2"/>
  <c r="T111" i="2"/>
  <c r="T83" i="2"/>
  <c r="X111" i="2"/>
  <c r="X83" i="2"/>
  <c r="AB111" i="2"/>
  <c r="AB83" i="2"/>
  <c r="AE59" i="2"/>
  <c r="AI59" i="2" s="1"/>
  <c r="AF59" i="2" s="1"/>
  <c r="AH59" i="2" s="1"/>
  <c r="AL59" i="2" s="1"/>
  <c r="AW59" i="2" s="1"/>
  <c r="G29" i="3" s="1"/>
  <c r="W29" i="3" s="1"/>
  <c r="AE57" i="2"/>
  <c r="AI57" i="2" s="1"/>
  <c r="AF57" i="2" s="1"/>
  <c r="AH57" i="2" s="1"/>
  <c r="AL57" i="2" s="1"/>
  <c r="AW57" i="2" s="1"/>
  <c r="G27" i="3" s="1"/>
  <c r="W27" i="3" s="1"/>
  <c r="AE55" i="2"/>
  <c r="AI55" i="2" s="1"/>
  <c r="AF55" i="2" s="1"/>
  <c r="AH55" i="2" s="1"/>
  <c r="AL55" i="2" s="1"/>
  <c r="AW55" i="2" s="1"/>
  <c r="G25" i="3" s="1"/>
  <c r="W25" i="3" s="1"/>
  <c r="AE60" i="2"/>
  <c r="AI60" i="2" s="1"/>
  <c r="AF60" i="2" s="1"/>
  <c r="AH60" i="2" s="1"/>
  <c r="AL60" i="2" s="1"/>
  <c r="AW60" i="2" s="1"/>
  <c r="G30" i="3" s="1"/>
  <c r="W30" i="3" s="1"/>
  <c r="AE58" i="2"/>
  <c r="AI58" i="2" s="1"/>
  <c r="AF58" i="2" s="1"/>
  <c r="AH58" i="2" s="1"/>
  <c r="AL58" i="2" s="1"/>
  <c r="AW58" i="2" s="1"/>
  <c r="G28" i="3" s="1"/>
  <c r="W28" i="3" s="1"/>
  <c r="AE56" i="2"/>
  <c r="AI56" i="2" s="1"/>
  <c r="AF56" i="2" s="1"/>
  <c r="AH56" i="2" s="1"/>
  <c r="AL56" i="2" s="1"/>
  <c r="AW56" i="2" s="1"/>
  <c r="G26" i="3" s="1"/>
  <c r="W26" i="3" s="1"/>
  <c r="H82" i="2"/>
  <c r="R110" i="2"/>
  <c r="R82" i="2"/>
  <c r="T110" i="2"/>
  <c r="V82" i="2"/>
  <c r="X110" i="2"/>
  <c r="Z82" i="2"/>
  <c r="AB110" i="2"/>
  <c r="AD82" i="2"/>
  <c r="H110" i="2"/>
  <c r="T82" i="2"/>
  <c r="V110" i="2"/>
  <c r="X82" i="2"/>
  <c r="Z110" i="2"/>
  <c r="AB82" i="2"/>
  <c r="AE54" i="2"/>
  <c r="AI54" i="2" s="1"/>
  <c r="AF54" i="2" s="1"/>
  <c r="AH54" i="2" s="1"/>
  <c r="AL54" i="2" s="1"/>
  <c r="AW54" i="2" s="1"/>
  <c r="G24" i="3" s="1"/>
  <c r="W24" i="3" s="1"/>
  <c r="H109" i="2"/>
  <c r="H81" i="2"/>
  <c r="R81" i="2"/>
  <c r="V109" i="2"/>
  <c r="V81" i="2"/>
  <c r="Z109" i="2"/>
  <c r="Z81" i="2"/>
  <c r="AD109" i="2"/>
  <c r="AD81" i="2"/>
  <c r="AE53" i="2"/>
  <c r="AI53" i="2" s="1"/>
  <c r="AF53" i="2" s="1"/>
  <c r="AH53" i="2" s="1"/>
  <c r="AL53" i="2" s="1"/>
  <c r="AW53" i="2" s="1"/>
  <c r="G23" i="3" s="1"/>
  <c r="W23" i="3" s="1"/>
  <c r="R109" i="2"/>
  <c r="T109" i="2"/>
  <c r="T81" i="2"/>
  <c r="X109" i="2"/>
  <c r="X81" i="2"/>
  <c r="AB109" i="2"/>
  <c r="AB81" i="2"/>
  <c r="H80" i="2"/>
  <c r="R108" i="2"/>
  <c r="R80" i="2"/>
  <c r="T108" i="2"/>
  <c r="V80" i="2"/>
  <c r="X108" i="2"/>
  <c r="Z80" i="2"/>
  <c r="AB108" i="2"/>
  <c r="AD80" i="2"/>
  <c r="H108" i="2"/>
  <c r="T80" i="2"/>
  <c r="V108" i="2"/>
  <c r="X80" i="2"/>
  <c r="Z108" i="2"/>
  <c r="AB80" i="2"/>
  <c r="AE52" i="2"/>
  <c r="AI52" i="2" s="1"/>
  <c r="AF52" i="2" s="1"/>
  <c r="AH52" i="2" s="1"/>
  <c r="AL52" i="2" s="1"/>
  <c r="AW52" i="2" s="1"/>
  <c r="G22" i="3" s="1"/>
  <c r="W22" i="3" s="1"/>
  <c r="H107" i="2"/>
  <c r="H79" i="2"/>
  <c r="R79" i="2"/>
  <c r="V107" i="2"/>
  <c r="V79" i="2"/>
  <c r="Z107" i="2"/>
  <c r="Z79" i="2"/>
  <c r="AD107" i="2"/>
  <c r="AD79" i="2"/>
  <c r="AE51" i="2"/>
  <c r="AI51" i="2" s="1"/>
  <c r="AF51" i="2" s="1"/>
  <c r="AH51" i="2" s="1"/>
  <c r="AL51" i="2" s="1"/>
  <c r="AW51" i="2" s="1"/>
  <c r="G21" i="3" s="1"/>
  <c r="W21" i="3" s="1"/>
  <c r="R107" i="2"/>
  <c r="T107" i="2"/>
  <c r="T79" i="2"/>
  <c r="X107" i="2"/>
  <c r="X79" i="2"/>
  <c r="AB107" i="2"/>
  <c r="AB79" i="2"/>
  <c r="H78" i="2"/>
  <c r="R106" i="2"/>
  <c r="R78" i="2"/>
  <c r="T106" i="2"/>
  <c r="V78" i="2"/>
  <c r="X106" i="2"/>
  <c r="Z78" i="2"/>
  <c r="AB106" i="2"/>
  <c r="AD78" i="2"/>
  <c r="H106" i="2"/>
  <c r="T78" i="2"/>
  <c r="V106" i="2"/>
  <c r="X78" i="2"/>
  <c r="Z106" i="2"/>
  <c r="AB78" i="2"/>
  <c r="AE50" i="2"/>
  <c r="AI50" i="2" s="1"/>
  <c r="AF50" i="2" s="1"/>
  <c r="AH50" i="2" s="1"/>
  <c r="AL50" i="2" s="1"/>
  <c r="AW50" i="2" s="1"/>
  <c r="G20" i="3" s="1"/>
  <c r="W20" i="3" s="1"/>
  <c r="R105" i="2"/>
  <c r="T105" i="2"/>
  <c r="T77" i="2"/>
  <c r="X105" i="2"/>
  <c r="X77" i="2"/>
  <c r="AB105" i="2"/>
  <c r="AB77" i="2"/>
  <c r="H105" i="2"/>
  <c r="H77" i="2"/>
  <c r="R77" i="2"/>
  <c r="V105" i="2"/>
  <c r="V77" i="2"/>
  <c r="Z105" i="2"/>
  <c r="Z77" i="2"/>
  <c r="AE49" i="2"/>
  <c r="AI49" i="2" s="1"/>
  <c r="AF49" i="2" s="1"/>
  <c r="AH49" i="2" s="1"/>
  <c r="AL49" i="2" s="1"/>
  <c r="AW49" i="2" s="1"/>
  <c r="G19" i="3" s="1"/>
  <c r="W19" i="3" s="1"/>
  <c r="H104" i="2"/>
  <c r="T76" i="2"/>
  <c r="V104" i="2"/>
  <c r="X76" i="2"/>
  <c r="Z104" i="2"/>
  <c r="AB76" i="2"/>
  <c r="AD104" i="2"/>
  <c r="AE48" i="2"/>
  <c r="AI48" i="2" s="1"/>
  <c r="AF48" i="2" s="1"/>
  <c r="AH48" i="2" s="1"/>
  <c r="AL48" i="2" s="1"/>
  <c r="AW48" i="2" s="1"/>
  <c r="G18" i="3" s="1"/>
  <c r="W18" i="3" s="1"/>
  <c r="H76" i="2"/>
  <c r="R104" i="2"/>
  <c r="R76" i="2"/>
  <c r="T104" i="2"/>
  <c r="V76" i="2"/>
  <c r="X104" i="2"/>
  <c r="Z76" i="2"/>
  <c r="AB104" i="2"/>
  <c r="H103" i="2"/>
  <c r="H75" i="2"/>
  <c r="T103" i="2"/>
  <c r="T75" i="2"/>
  <c r="X103" i="2"/>
  <c r="X75" i="2"/>
  <c r="AB103" i="2"/>
  <c r="AB75" i="2"/>
  <c r="R75" i="2"/>
  <c r="V103" i="2"/>
  <c r="V75" i="2"/>
  <c r="Z103" i="2"/>
  <c r="Z75" i="2"/>
  <c r="AE47" i="2"/>
  <c r="AI47" i="2" s="1"/>
  <c r="AF47" i="2" s="1"/>
  <c r="AH47" i="2" s="1"/>
  <c r="AL47" i="2" s="1"/>
  <c r="AW47" i="2" s="1"/>
  <c r="G17" i="3" s="1"/>
  <c r="W17" i="3" s="1"/>
  <c r="H74" i="2"/>
  <c r="R102" i="2"/>
  <c r="T74" i="2"/>
  <c r="V102" i="2"/>
  <c r="X74" i="2"/>
  <c r="Z102" i="2"/>
  <c r="AB74" i="2"/>
  <c r="AD102" i="2"/>
  <c r="AE46" i="2"/>
  <c r="AI46" i="2" s="1"/>
  <c r="AF46" i="2" s="1"/>
  <c r="AH46" i="2" s="1"/>
  <c r="AL46" i="2" s="1"/>
  <c r="AW46" i="2" s="1"/>
  <c r="G16" i="3" s="1"/>
  <c r="W16" i="3" s="1"/>
  <c r="H102" i="2"/>
  <c r="R74" i="2"/>
  <c r="T102" i="2"/>
  <c r="V74" i="2"/>
  <c r="X102" i="2"/>
  <c r="Z74" i="2"/>
  <c r="AB102" i="2"/>
  <c r="H101" i="2"/>
  <c r="H73" i="2"/>
  <c r="T101" i="2"/>
  <c r="T73" i="2"/>
  <c r="X101" i="2"/>
  <c r="X73" i="2"/>
  <c r="AB101" i="2"/>
  <c r="AB73" i="2"/>
  <c r="R101" i="2"/>
  <c r="R73" i="2"/>
  <c r="V101" i="2"/>
  <c r="V73" i="2"/>
  <c r="Z101" i="2"/>
  <c r="Z73" i="2"/>
  <c r="AE45" i="2"/>
  <c r="AI45" i="2" s="1"/>
  <c r="AF45" i="2" s="1"/>
  <c r="AH45" i="2" s="1"/>
  <c r="AL45" i="2" s="1"/>
  <c r="AW45" i="2" s="1"/>
  <c r="G15" i="3" s="1"/>
  <c r="W15" i="3" s="1"/>
  <c r="H72" i="2"/>
  <c r="R100" i="2"/>
  <c r="T72" i="2"/>
  <c r="V100" i="2"/>
  <c r="X72" i="2"/>
  <c r="Z100" i="2"/>
  <c r="AB72" i="2"/>
  <c r="AD100" i="2"/>
  <c r="AE44" i="2"/>
  <c r="AI44" i="2" s="1"/>
  <c r="AF44" i="2" s="1"/>
  <c r="AH44" i="2" s="1"/>
  <c r="AL44" i="2" s="1"/>
  <c r="AW44" i="2" s="1"/>
  <c r="G14" i="3" s="1"/>
  <c r="W14" i="3" s="1"/>
  <c r="H100" i="2"/>
  <c r="R72" i="2"/>
  <c r="T100" i="2"/>
  <c r="V72" i="2"/>
  <c r="X100" i="2"/>
  <c r="Z72" i="2"/>
  <c r="AB100" i="2"/>
  <c r="H99" i="2"/>
  <c r="H71" i="2"/>
  <c r="T99" i="2"/>
  <c r="T71" i="2"/>
  <c r="X99" i="2"/>
  <c r="X71" i="2"/>
  <c r="AB99" i="2"/>
  <c r="AB71" i="2"/>
  <c r="R99" i="2"/>
  <c r="R71" i="2"/>
  <c r="V99" i="2"/>
  <c r="V71" i="2"/>
  <c r="Z99" i="2"/>
  <c r="Z71" i="2"/>
  <c r="AE43" i="2"/>
  <c r="AI43" i="2" s="1"/>
  <c r="AF43" i="2" s="1"/>
  <c r="AH43" i="2" s="1"/>
  <c r="AL43" i="2" s="1"/>
  <c r="AW43" i="2" s="1"/>
  <c r="G13" i="3" s="1"/>
  <c r="W13" i="3" s="1"/>
  <c r="H97" i="2"/>
  <c r="R69" i="2"/>
  <c r="T97" i="2"/>
  <c r="V69" i="2"/>
  <c r="X97" i="2"/>
  <c r="Z69" i="2"/>
  <c r="AB97" i="2"/>
  <c r="AD69" i="2"/>
  <c r="H69" i="2"/>
  <c r="R97" i="2"/>
  <c r="T69" i="2"/>
  <c r="V97" i="2"/>
  <c r="X69" i="2"/>
  <c r="Z97" i="2"/>
  <c r="AB69" i="2"/>
  <c r="AE41" i="2"/>
  <c r="AI41" i="2" s="1"/>
  <c r="AF41" i="2" s="1"/>
  <c r="AH41" i="2" s="1"/>
  <c r="AL41" i="2" s="1"/>
  <c r="AW41" i="2" s="1"/>
  <c r="G11" i="3" s="1"/>
  <c r="W11" i="3" s="1"/>
  <c r="R96" i="2"/>
  <c r="R68" i="2"/>
  <c r="V96" i="2"/>
  <c r="V68" i="2"/>
  <c r="Z96" i="2"/>
  <c r="Z68" i="2"/>
  <c r="AD96" i="2"/>
  <c r="AD68" i="2"/>
  <c r="AE40" i="2"/>
  <c r="AI40" i="2" s="1"/>
  <c r="AF40" i="2" s="1"/>
  <c r="AH40" i="2" s="1"/>
  <c r="AL40" i="2" s="1"/>
  <c r="AW40" i="2" s="1"/>
  <c r="G10" i="3" s="1"/>
  <c r="W10" i="3" s="1"/>
  <c r="H96" i="2"/>
  <c r="H68" i="2"/>
  <c r="T96" i="2"/>
  <c r="T68" i="2"/>
  <c r="X96" i="2"/>
  <c r="X68" i="2"/>
  <c r="AB96" i="2"/>
  <c r="AB68" i="2"/>
  <c r="G33" i="3" l="1"/>
  <c r="AE95" i="2"/>
  <c r="AI95" i="2" s="1"/>
  <c r="AF95" i="2" s="1"/>
  <c r="AH95" i="2" s="1"/>
  <c r="AL95" i="2" s="1"/>
  <c r="AW95" i="2" s="1"/>
  <c r="I9" i="3" s="1"/>
  <c r="Y9" i="3" s="1"/>
  <c r="AE91" i="2"/>
  <c r="AI91" i="2" s="1"/>
  <c r="AF91" i="2" s="1"/>
  <c r="AH91" i="2" s="1"/>
  <c r="AL91" i="2" s="1"/>
  <c r="AW91" i="2" s="1"/>
  <c r="I5" i="3" s="1"/>
  <c r="Y5" i="3" s="1"/>
  <c r="AE90" i="2"/>
  <c r="AI90" i="2" s="1"/>
  <c r="AF90" i="2" s="1"/>
  <c r="AH90" i="2" s="1"/>
  <c r="AL90" i="2" s="1"/>
  <c r="AW90" i="2" s="1"/>
  <c r="I4" i="3" s="1"/>
  <c r="Y4" i="3" s="1"/>
  <c r="AE83" i="2"/>
  <c r="AI83" i="2" s="1"/>
  <c r="AF83" i="2" s="1"/>
  <c r="AH83" i="2" s="1"/>
  <c r="AL83" i="2" s="1"/>
  <c r="AW83" i="2" s="1"/>
  <c r="H25" i="3" s="1"/>
  <c r="X25" i="3" s="1"/>
  <c r="AE87" i="2"/>
  <c r="AI87" i="2" s="1"/>
  <c r="AF87" i="2" s="1"/>
  <c r="AH87" i="2" s="1"/>
  <c r="AL87" i="2" s="1"/>
  <c r="AW87" i="2" s="1"/>
  <c r="H29" i="3" s="1"/>
  <c r="X29" i="3" s="1"/>
  <c r="AE89" i="2"/>
  <c r="AI89" i="2" s="1"/>
  <c r="AF89" i="2" s="1"/>
  <c r="AH89" i="2" s="1"/>
  <c r="AL89" i="2" s="1"/>
  <c r="AW89" i="2" s="1"/>
  <c r="I3" i="3" s="1"/>
  <c r="Y3" i="3" s="1"/>
  <c r="AE93" i="2"/>
  <c r="AI93" i="2" s="1"/>
  <c r="AF93" i="2" s="1"/>
  <c r="AH93" i="2" s="1"/>
  <c r="AL93" i="2" s="1"/>
  <c r="AW93" i="2" s="1"/>
  <c r="I7" i="3" s="1"/>
  <c r="Y7" i="3" s="1"/>
  <c r="AE92" i="2"/>
  <c r="AI92" i="2" s="1"/>
  <c r="AF92" i="2" s="1"/>
  <c r="AH92" i="2" s="1"/>
  <c r="AL92" i="2" s="1"/>
  <c r="AW92" i="2" s="1"/>
  <c r="I6" i="3" s="1"/>
  <c r="Y6" i="3" s="1"/>
  <c r="AE61" i="2"/>
  <c r="AI61" i="2" s="1"/>
  <c r="AF61" i="2" s="1"/>
  <c r="AH61" i="2" s="1"/>
  <c r="AL61" i="2" s="1"/>
  <c r="AW61" i="2" s="1"/>
  <c r="H3" i="3" s="1"/>
  <c r="X3" i="3" s="1"/>
  <c r="AE65" i="2"/>
  <c r="AI65" i="2" s="1"/>
  <c r="AF65" i="2" s="1"/>
  <c r="AH65" i="2" s="1"/>
  <c r="AL65" i="2" s="1"/>
  <c r="AW65" i="2" s="1"/>
  <c r="H7" i="3" s="1"/>
  <c r="X7" i="3" s="1"/>
  <c r="AE64" i="2"/>
  <c r="AI64" i="2" s="1"/>
  <c r="AF64" i="2" s="1"/>
  <c r="AH64" i="2" s="1"/>
  <c r="AL64" i="2" s="1"/>
  <c r="AW64" i="2" s="1"/>
  <c r="H6" i="3" s="1"/>
  <c r="X6" i="3" s="1"/>
  <c r="AE62" i="2"/>
  <c r="AI62" i="2" s="1"/>
  <c r="AF62" i="2" s="1"/>
  <c r="AH62" i="2" s="1"/>
  <c r="AL62" i="2" s="1"/>
  <c r="AW62" i="2" s="1"/>
  <c r="H4" i="3" s="1"/>
  <c r="X4" i="3" s="1"/>
  <c r="AE66" i="2"/>
  <c r="AI66" i="2" s="1"/>
  <c r="AF66" i="2" s="1"/>
  <c r="AH66" i="2" s="1"/>
  <c r="AL66" i="2" s="1"/>
  <c r="AW66" i="2" s="1"/>
  <c r="H8" i="3" s="1"/>
  <c r="AE77" i="2"/>
  <c r="AI77" i="2" s="1"/>
  <c r="AF77" i="2" s="1"/>
  <c r="AH77" i="2" s="1"/>
  <c r="AL77" i="2" s="1"/>
  <c r="AW77" i="2" s="1"/>
  <c r="H19" i="3" s="1"/>
  <c r="X19" i="3" s="1"/>
  <c r="AE71" i="2"/>
  <c r="AI71" i="2" s="1"/>
  <c r="AF71" i="2" s="1"/>
  <c r="AH71" i="2" s="1"/>
  <c r="AL71" i="2" s="1"/>
  <c r="AW71" i="2" s="1"/>
  <c r="H13" i="3" s="1"/>
  <c r="X13" i="3" s="1"/>
  <c r="AE101" i="2"/>
  <c r="AI101" i="2" s="1"/>
  <c r="AF101" i="2" s="1"/>
  <c r="AH101" i="2" s="1"/>
  <c r="AL101" i="2" s="1"/>
  <c r="AW101" i="2" s="1"/>
  <c r="I15" i="3" s="1"/>
  <c r="Y15" i="3" s="1"/>
  <c r="AE74" i="2"/>
  <c r="AI74" i="2" s="1"/>
  <c r="AF74" i="2" s="1"/>
  <c r="AH74" i="2" s="1"/>
  <c r="AL74" i="2" s="1"/>
  <c r="AW74" i="2" s="1"/>
  <c r="H16" i="3" s="1"/>
  <c r="X16" i="3" s="1"/>
  <c r="AE75" i="2"/>
  <c r="AI75" i="2" s="1"/>
  <c r="AF75" i="2" s="1"/>
  <c r="AH75" i="2" s="1"/>
  <c r="AL75" i="2" s="1"/>
  <c r="AW75" i="2" s="1"/>
  <c r="H17" i="3" s="1"/>
  <c r="X17" i="3" s="1"/>
  <c r="AE103" i="2"/>
  <c r="AI103" i="2" s="1"/>
  <c r="AF103" i="2" s="1"/>
  <c r="AH103" i="2" s="1"/>
  <c r="AL103" i="2" s="1"/>
  <c r="AW103" i="2" s="1"/>
  <c r="I17" i="3" s="1"/>
  <c r="Y17" i="3" s="1"/>
  <c r="AE76" i="2"/>
  <c r="AI76" i="2" s="1"/>
  <c r="AF76" i="2" s="1"/>
  <c r="AH76" i="2" s="1"/>
  <c r="AL76" i="2" s="1"/>
  <c r="AW76" i="2" s="1"/>
  <c r="H18" i="3" s="1"/>
  <c r="X18" i="3" s="1"/>
  <c r="AE78" i="2"/>
  <c r="AI78" i="2" s="1"/>
  <c r="AF78" i="2" s="1"/>
  <c r="AH78" i="2" s="1"/>
  <c r="AL78" i="2" s="1"/>
  <c r="AW78" i="2" s="1"/>
  <c r="H20" i="3" s="1"/>
  <c r="X20" i="3" s="1"/>
  <c r="AE108" i="2"/>
  <c r="AI108" i="2" s="1"/>
  <c r="AF108" i="2" s="1"/>
  <c r="AH108" i="2" s="1"/>
  <c r="AL108" i="2" s="1"/>
  <c r="AW108" i="2" s="1"/>
  <c r="I22" i="3" s="1"/>
  <c r="Y22" i="3" s="1"/>
  <c r="AE110" i="2"/>
  <c r="AI110" i="2" s="1"/>
  <c r="AF110" i="2" s="1"/>
  <c r="AH110" i="2" s="1"/>
  <c r="AL110" i="2" s="1"/>
  <c r="AW110" i="2" s="1"/>
  <c r="I24" i="3" s="1"/>
  <c r="Y24" i="3" s="1"/>
  <c r="AE70" i="2"/>
  <c r="AI70" i="2" s="1"/>
  <c r="AF70" i="2" s="1"/>
  <c r="AH70" i="2" s="1"/>
  <c r="AL70" i="2" s="1"/>
  <c r="AW70" i="2" s="1"/>
  <c r="H12" i="3" s="1"/>
  <c r="X12" i="3" s="1"/>
  <c r="AE98" i="2"/>
  <c r="AI98" i="2" s="1"/>
  <c r="AF98" i="2" s="1"/>
  <c r="AH98" i="2" s="1"/>
  <c r="AL98" i="2" s="1"/>
  <c r="AW98" i="2" s="1"/>
  <c r="I12" i="3" s="1"/>
  <c r="Y12" i="3" s="1"/>
  <c r="AE99" i="2"/>
  <c r="AI99" i="2" s="1"/>
  <c r="AF99" i="2" s="1"/>
  <c r="AH99" i="2" s="1"/>
  <c r="AL99" i="2" s="1"/>
  <c r="AW99" i="2" s="1"/>
  <c r="I13" i="3" s="1"/>
  <c r="Y13" i="3" s="1"/>
  <c r="AE72" i="2"/>
  <c r="AI72" i="2" s="1"/>
  <c r="AF72" i="2" s="1"/>
  <c r="AH72" i="2" s="1"/>
  <c r="AL72" i="2" s="1"/>
  <c r="AW72" i="2" s="1"/>
  <c r="H14" i="3" s="1"/>
  <c r="X14" i="3" s="1"/>
  <c r="AE73" i="2"/>
  <c r="AI73" i="2" s="1"/>
  <c r="AF73" i="2" s="1"/>
  <c r="AH73" i="2" s="1"/>
  <c r="AL73" i="2" s="1"/>
  <c r="AW73" i="2" s="1"/>
  <c r="H15" i="3" s="1"/>
  <c r="X15" i="3" s="1"/>
  <c r="AE105" i="2"/>
  <c r="AI105" i="2" s="1"/>
  <c r="AF105" i="2" s="1"/>
  <c r="AH105" i="2" s="1"/>
  <c r="AL105" i="2" s="1"/>
  <c r="AW105" i="2" s="1"/>
  <c r="I19" i="3" s="1"/>
  <c r="Y19" i="3" s="1"/>
  <c r="AE106" i="2"/>
  <c r="AI106" i="2" s="1"/>
  <c r="AF106" i="2" s="1"/>
  <c r="AH106" i="2" s="1"/>
  <c r="AL106" i="2" s="1"/>
  <c r="AW106" i="2" s="1"/>
  <c r="I20" i="3" s="1"/>
  <c r="Y20" i="3" s="1"/>
  <c r="AE79" i="2"/>
  <c r="AI79" i="2" s="1"/>
  <c r="AF79" i="2" s="1"/>
  <c r="AH79" i="2" s="1"/>
  <c r="AL79" i="2" s="1"/>
  <c r="AW79" i="2" s="1"/>
  <c r="H21" i="3" s="1"/>
  <c r="X21" i="3" s="1"/>
  <c r="AE80" i="2"/>
  <c r="AI80" i="2" s="1"/>
  <c r="AF80" i="2" s="1"/>
  <c r="AH80" i="2" s="1"/>
  <c r="AL80" i="2" s="1"/>
  <c r="AW80" i="2" s="1"/>
  <c r="H22" i="3" s="1"/>
  <c r="X22" i="3" s="1"/>
  <c r="AE81" i="2"/>
  <c r="AI81" i="2" s="1"/>
  <c r="AF81" i="2" s="1"/>
  <c r="AH81" i="2" s="1"/>
  <c r="AL81" i="2" s="1"/>
  <c r="AW81" i="2" s="1"/>
  <c r="H23" i="3" s="1"/>
  <c r="X23" i="3" s="1"/>
  <c r="AE85" i="2"/>
  <c r="AI85" i="2" s="1"/>
  <c r="AF85" i="2" s="1"/>
  <c r="AH85" i="2" s="1"/>
  <c r="AL85" i="2" s="1"/>
  <c r="AW85" i="2" s="1"/>
  <c r="H27" i="3" s="1"/>
  <c r="X27" i="3" s="1"/>
  <c r="AE63" i="2"/>
  <c r="AI63" i="2" s="1"/>
  <c r="AF63" i="2" s="1"/>
  <c r="AH63" i="2" s="1"/>
  <c r="AL63" i="2" s="1"/>
  <c r="AW63" i="2" s="1"/>
  <c r="H5" i="3" s="1"/>
  <c r="X5" i="3" s="1"/>
  <c r="AE67" i="2"/>
  <c r="AI67" i="2" s="1"/>
  <c r="AF67" i="2" s="1"/>
  <c r="AH67" i="2" s="1"/>
  <c r="AL67" i="2" s="1"/>
  <c r="AW67" i="2" s="1"/>
  <c r="H9" i="3" s="1"/>
  <c r="X9" i="3" s="1"/>
  <c r="AE104" i="2"/>
  <c r="AI104" i="2" s="1"/>
  <c r="AF104" i="2" s="1"/>
  <c r="AH104" i="2" s="1"/>
  <c r="AL104" i="2" s="1"/>
  <c r="AW104" i="2" s="1"/>
  <c r="I18" i="3" s="1"/>
  <c r="Y18" i="3" s="1"/>
  <c r="AE116" i="2"/>
  <c r="AI116" i="2" s="1"/>
  <c r="AF116" i="2" s="1"/>
  <c r="AH116" i="2" s="1"/>
  <c r="AL116" i="2" s="1"/>
  <c r="AW116" i="2" s="1"/>
  <c r="I30" i="3" s="1"/>
  <c r="Y30" i="3" s="1"/>
  <c r="AE114" i="2"/>
  <c r="AI114" i="2" s="1"/>
  <c r="AF114" i="2" s="1"/>
  <c r="AH114" i="2" s="1"/>
  <c r="AL114" i="2" s="1"/>
  <c r="AW114" i="2" s="1"/>
  <c r="I28" i="3" s="1"/>
  <c r="Y28" i="3" s="1"/>
  <c r="AE84" i="2"/>
  <c r="AI84" i="2" s="1"/>
  <c r="AF84" i="2" s="1"/>
  <c r="AH84" i="2" s="1"/>
  <c r="AL84" i="2" s="1"/>
  <c r="AW84" i="2" s="1"/>
  <c r="H26" i="3" s="1"/>
  <c r="X26" i="3" s="1"/>
  <c r="AE88" i="2"/>
  <c r="AI88" i="2" s="1"/>
  <c r="AF88" i="2" s="1"/>
  <c r="AH88" i="2" s="1"/>
  <c r="AL88" i="2" s="1"/>
  <c r="AW88" i="2" s="1"/>
  <c r="H30" i="3" s="1"/>
  <c r="X30" i="3" s="1"/>
  <c r="AE86" i="2"/>
  <c r="AI86" i="2" s="1"/>
  <c r="AF86" i="2" s="1"/>
  <c r="AH86" i="2" s="1"/>
  <c r="AL86" i="2" s="1"/>
  <c r="AW86" i="2" s="1"/>
  <c r="H28" i="3" s="1"/>
  <c r="X28" i="3" s="1"/>
  <c r="AE115" i="2"/>
  <c r="AI115" i="2" s="1"/>
  <c r="AF115" i="2" s="1"/>
  <c r="AH115" i="2" s="1"/>
  <c r="AL115" i="2" s="1"/>
  <c r="AW115" i="2" s="1"/>
  <c r="I29" i="3" s="1"/>
  <c r="AE113" i="2"/>
  <c r="AI113" i="2" s="1"/>
  <c r="AF113" i="2" s="1"/>
  <c r="AH113" i="2" s="1"/>
  <c r="AL113" i="2" s="1"/>
  <c r="AW113" i="2" s="1"/>
  <c r="I27" i="3" s="1"/>
  <c r="AE112" i="2"/>
  <c r="AI112" i="2" s="1"/>
  <c r="AF112" i="2" s="1"/>
  <c r="AH112" i="2" s="1"/>
  <c r="AL112" i="2" s="1"/>
  <c r="AW112" i="2" s="1"/>
  <c r="I26" i="3" s="1"/>
  <c r="Y26" i="3" s="1"/>
  <c r="AE111" i="2"/>
  <c r="AI111" i="2" s="1"/>
  <c r="AF111" i="2" s="1"/>
  <c r="AH111" i="2" s="1"/>
  <c r="AL111" i="2" s="1"/>
  <c r="AW111" i="2" s="1"/>
  <c r="I25" i="3" s="1"/>
  <c r="AE82" i="2"/>
  <c r="AI82" i="2" s="1"/>
  <c r="AF82" i="2" s="1"/>
  <c r="AH82" i="2" s="1"/>
  <c r="AL82" i="2" s="1"/>
  <c r="AW82" i="2" s="1"/>
  <c r="H24" i="3" s="1"/>
  <c r="X24" i="3" s="1"/>
  <c r="AE109" i="2"/>
  <c r="AI109" i="2" s="1"/>
  <c r="AF109" i="2" s="1"/>
  <c r="AH109" i="2" s="1"/>
  <c r="AL109" i="2" s="1"/>
  <c r="AW109" i="2" s="1"/>
  <c r="I23" i="3" s="1"/>
  <c r="Y23" i="3" s="1"/>
  <c r="AE107" i="2"/>
  <c r="AI107" i="2" s="1"/>
  <c r="AF107" i="2" s="1"/>
  <c r="AH107" i="2" s="1"/>
  <c r="AL107" i="2" s="1"/>
  <c r="AW107" i="2" s="1"/>
  <c r="I21" i="3" s="1"/>
  <c r="AE102" i="2"/>
  <c r="AI102" i="2" s="1"/>
  <c r="AF102" i="2" s="1"/>
  <c r="AH102" i="2" s="1"/>
  <c r="AL102" i="2" s="1"/>
  <c r="AW102" i="2" s="1"/>
  <c r="I16" i="3" s="1"/>
  <c r="Y16" i="3" s="1"/>
  <c r="AE100" i="2"/>
  <c r="AI100" i="2" s="1"/>
  <c r="AF100" i="2" s="1"/>
  <c r="AH100" i="2" s="1"/>
  <c r="AL100" i="2" s="1"/>
  <c r="AW100" i="2" s="1"/>
  <c r="I14" i="3" s="1"/>
  <c r="AE97" i="2"/>
  <c r="AI97" i="2" s="1"/>
  <c r="AF97" i="2" s="1"/>
  <c r="AH97" i="2" s="1"/>
  <c r="AL97" i="2" s="1"/>
  <c r="AW97" i="2" s="1"/>
  <c r="I11" i="3" s="1"/>
  <c r="Y11" i="3" s="1"/>
  <c r="AE69" i="2"/>
  <c r="AI69" i="2" s="1"/>
  <c r="AF69" i="2" s="1"/>
  <c r="AH69" i="2" s="1"/>
  <c r="AL69" i="2" s="1"/>
  <c r="AW69" i="2" s="1"/>
  <c r="H11" i="3" s="1"/>
  <c r="X11" i="3" s="1"/>
  <c r="AE96" i="2"/>
  <c r="AI96" i="2" s="1"/>
  <c r="AF96" i="2" s="1"/>
  <c r="AH96" i="2" s="1"/>
  <c r="AL96" i="2" s="1"/>
  <c r="AW96" i="2" s="1"/>
  <c r="I10" i="3" s="1"/>
  <c r="Y10" i="3" s="1"/>
  <c r="AE68" i="2"/>
  <c r="AI68" i="2" s="1"/>
  <c r="AF68" i="2" s="1"/>
  <c r="AH68" i="2" s="1"/>
  <c r="AL68" i="2" s="1"/>
  <c r="AW68" i="2" s="1"/>
  <c r="H10" i="3" s="1"/>
  <c r="X10" i="3" s="1"/>
  <c r="H36" i="2"/>
  <c r="AE36" i="2" s="1"/>
  <c r="AI36" i="2" s="1"/>
  <c r="AF36" i="2" s="1"/>
  <c r="AH36" i="2" s="1"/>
  <c r="AL36" i="2" s="1"/>
  <c r="AW36" i="2" s="1"/>
  <c r="H37" i="2"/>
  <c r="AE37" i="2" s="1"/>
  <c r="AI37" i="2" s="1"/>
  <c r="AF37" i="2" s="1"/>
  <c r="AH37" i="2" s="1"/>
  <c r="AL37" i="2" s="1"/>
  <c r="AW37" i="2" s="1"/>
  <c r="H38" i="2"/>
  <c r="AE38" i="2" s="1"/>
  <c r="AI38" i="2" s="1"/>
  <c r="AF38" i="2" s="1"/>
  <c r="AH38" i="2" s="1"/>
  <c r="AL38" i="2" s="1"/>
  <c r="AW38" i="2" s="1"/>
  <c r="H39" i="2"/>
  <c r="AE39" i="2" s="1"/>
  <c r="AI39" i="2" s="1"/>
  <c r="AF39" i="2" s="1"/>
  <c r="AH39" i="2" s="1"/>
  <c r="AL39" i="2" s="1"/>
  <c r="AW39" i="2" s="1"/>
  <c r="AK33" i="2"/>
  <c r="W33" i="3" l="1"/>
  <c r="R33" i="3"/>
  <c r="J14" i="3"/>
  <c r="Y14" i="3"/>
  <c r="J21" i="3"/>
  <c r="Y21" i="3"/>
  <c r="J29" i="3"/>
  <c r="Y29" i="3"/>
  <c r="J8" i="3"/>
  <c r="X8" i="3"/>
  <c r="J25" i="3"/>
  <c r="Y25" i="3"/>
  <c r="J27" i="3"/>
  <c r="Y27" i="3"/>
  <c r="H33" i="3"/>
  <c r="I33" i="3"/>
  <c r="I32" i="3"/>
  <c r="I31" i="3"/>
  <c r="H32" i="3"/>
  <c r="H31" i="3"/>
  <c r="J26" i="3"/>
  <c r="J18" i="3"/>
  <c r="J19" i="3"/>
  <c r="J10" i="3"/>
  <c r="J11" i="3"/>
  <c r="J16" i="3"/>
  <c r="J23" i="3"/>
  <c r="J30" i="3"/>
  <c r="J20" i="3"/>
  <c r="J13" i="3"/>
  <c r="J6" i="3"/>
  <c r="J3" i="3"/>
  <c r="G8" i="3"/>
  <c r="V29" i="3"/>
  <c r="G9" i="3"/>
  <c r="V30" i="3"/>
  <c r="G7" i="3"/>
  <c r="V28" i="3"/>
  <c r="J28" i="3"/>
  <c r="J12" i="3"/>
  <c r="J24" i="3"/>
  <c r="J17" i="3"/>
  <c r="J7" i="3"/>
  <c r="J4" i="3"/>
  <c r="J9" i="3"/>
  <c r="G6" i="3"/>
  <c r="V27" i="3"/>
  <c r="J22" i="3"/>
  <c r="J15" i="3"/>
  <c r="J5" i="3"/>
  <c r="AD33" i="2"/>
  <c r="AB33" i="2"/>
  <c r="Z33" i="2"/>
  <c r="X33" i="2"/>
  <c r="V33" i="2"/>
  <c r="T33" i="2"/>
  <c r="R33" i="2"/>
  <c r="H34" i="2"/>
  <c r="AE34" i="2" s="1"/>
  <c r="AI34" i="2" s="1"/>
  <c r="AF34" i="2" s="1"/>
  <c r="AH34" i="2" s="1"/>
  <c r="AL34" i="2" s="1"/>
  <c r="AW34" i="2" s="1"/>
  <c r="H35" i="2"/>
  <c r="AE35" i="2" s="1"/>
  <c r="AI35" i="2" s="1"/>
  <c r="AF35" i="2" s="1"/>
  <c r="AH35" i="2" s="1"/>
  <c r="AL35" i="2" s="1"/>
  <c r="AW35" i="2" s="1"/>
  <c r="H33" i="2"/>
  <c r="F6" i="3" l="1"/>
  <c r="V6" i="3" s="1"/>
  <c r="W6" i="3"/>
  <c r="S31" i="3"/>
  <c r="X31" i="3"/>
  <c r="T31" i="3"/>
  <c r="Y31" i="3"/>
  <c r="T33" i="3"/>
  <c r="Y33" i="3"/>
  <c r="F7" i="3"/>
  <c r="V7" i="3" s="1"/>
  <c r="W7" i="3"/>
  <c r="F9" i="3"/>
  <c r="V9" i="3" s="1"/>
  <c r="W9" i="3"/>
  <c r="F8" i="3"/>
  <c r="V8" i="3" s="1"/>
  <c r="W8" i="3"/>
  <c r="S32" i="3"/>
  <c r="X32" i="3"/>
  <c r="Y32" i="3"/>
  <c r="T32" i="3"/>
  <c r="S33" i="3"/>
  <c r="X33" i="3"/>
  <c r="J33" i="3"/>
  <c r="J32" i="3"/>
  <c r="J31" i="3"/>
  <c r="G4" i="3"/>
  <c r="V25" i="3"/>
  <c r="G5" i="3"/>
  <c r="V26" i="3"/>
  <c r="AE33" i="2"/>
  <c r="AI33" i="2" s="1"/>
  <c r="AF33" i="2" s="1"/>
  <c r="AH33" i="2" s="1"/>
  <c r="AL33" i="2" s="1"/>
  <c r="AW33" i="2" s="1"/>
  <c r="F5" i="3" l="1"/>
  <c r="V5" i="3" s="1"/>
  <c r="W5" i="3"/>
  <c r="F4" i="3"/>
  <c r="V4" i="3" s="1"/>
  <c r="W4" i="3"/>
  <c r="G3" i="3"/>
  <c r="W3" i="3" s="1"/>
  <c r="F33" i="3" l="1"/>
  <c r="V24" i="3"/>
  <c r="G31" i="3"/>
  <c r="F3" i="3"/>
  <c r="V3" i="3" s="1"/>
  <c r="G32" i="3"/>
  <c r="W32" i="3" l="1"/>
  <c r="R32" i="3"/>
  <c r="W31" i="3"/>
  <c r="R31" i="3"/>
  <c r="V33" i="3"/>
  <c r="Q33" i="3"/>
  <c r="F32" i="3"/>
  <c r="F31" i="3"/>
  <c r="V31" i="3" l="1"/>
  <c r="Q31" i="3"/>
  <c r="V32" i="3"/>
  <c r="Q32" i="3"/>
</calcChain>
</file>

<file path=xl/comments1.xml><?xml version="1.0" encoding="utf-8"?>
<comments xmlns="http://schemas.openxmlformats.org/spreadsheetml/2006/main">
  <authors>
    <author>Peter Chen</author>
    <author>Carter Danne</author>
  </authors>
  <commentList>
    <comment ref="A11" authorId="0">
      <text>
        <r>
          <rPr>
            <sz val="9"/>
            <color indexed="81"/>
            <rFont val="Tahoma"/>
            <family val="2"/>
          </rPr>
          <t>Enter:
"Existing"
"No Action"
"Build"</t>
        </r>
      </text>
    </comment>
    <comment ref="B11" authorId="0">
      <text>
        <r>
          <rPr>
            <sz val="9"/>
            <color indexed="81"/>
            <rFont val="Tahoma"/>
            <family val="2"/>
          </rPr>
          <t>Enter:
"Point Def"
"Bypass"</t>
        </r>
      </text>
    </comment>
    <comment ref="G11" authorId="0">
      <text>
        <r>
          <rPr>
            <sz val="9"/>
            <color indexed="81"/>
            <rFont val="Tahoma"/>
            <family val="2"/>
          </rPr>
          <t>Enter:
"Passive"
"Lights"
"Gates"</t>
        </r>
      </text>
    </comment>
    <comment ref="P11" authorId="0">
      <text>
        <r>
          <rPr>
            <sz val="9"/>
            <color indexed="81"/>
            <rFont val="Tahoma"/>
            <family val="2"/>
          </rPr>
          <t>Enter:
Total daily volume of cars and trucks (c)</t>
        </r>
      </text>
    </comment>
    <comment ref="Q11" authorId="0">
      <text>
        <r>
          <rPr>
            <sz val="9"/>
            <color indexed="81"/>
            <rFont val="Tahoma"/>
            <family val="2"/>
          </rPr>
          <t>Enter:
Total daily volume of trains (t)</t>
        </r>
      </text>
    </comment>
    <comment ref="S11" authorId="0">
      <text>
        <r>
          <rPr>
            <sz val="9"/>
            <color indexed="81"/>
            <rFont val="Tahoma"/>
            <family val="2"/>
          </rPr>
          <t>Enter:
1
2
3
4
...</t>
        </r>
      </text>
    </comment>
    <comment ref="U11" authorId="0">
      <text>
        <r>
          <rPr>
            <sz val="9"/>
            <color indexed="81"/>
            <rFont val="Tahoma"/>
            <family val="2"/>
          </rPr>
          <t>Enter:
1
2
3
4
...</t>
        </r>
      </text>
    </comment>
    <comment ref="W11" authorId="0">
      <text>
        <r>
          <rPr>
            <sz val="9"/>
            <color indexed="81"/>
            <rFont val="Tahoma"/>
            <family val="2"/>
          </rPr>
          <t>Enter:
Yes
No</t>
        </r>
      </text>
    </comment>
    <comment ref="Y11" authorId="0">
      <text>
        <r>
          <rPr>
            <sz val="9"/>
            <color indexed="81"/>
            <rFont val="Tahoma"/>
            <family val="2"/>
          </rPr>
          <t>Enter:
1
2
3
…
90</t>
        </r>
      </text>
    </comment>
    <comment ref="AA11" authorId="0">
      <text>
        <r>
          <rPr>
            <sz val="9"/>
            <color indexed="81"/>
            <rFont val="Tahoma"/>
            <family val="2"/>
          </rPr>
          <t>Enter: (Rural/Urban)
1=Interstate/Interstate
2=Prin Art/Other frwy
3=Min Art/Prin Art
4=Maj Coll/Min Art
5=Min Coll/Coll
6=Local/Local</t>
        </r>
      </text>
    </comment>
    <comment ref="AC11" authorId="0">
      <text>
        <r>
          <rPr>
            <sz val="9"/>
            <color indexed="81"/>
            <rFont val="Tahoma"/>
            <family val="2"/>
          </rPr>
          <t>Enter:
1
2
3
4
...</t>
        </r>
      </text>
    </comment>
    <comment ref="AG11" authorId="0">
      <text>
        <r>
          <rPr>
            <sz val="9"/>
            <color indexed="81"/>
            <rFont val="Tahoma"/>
            <family val="2"/>
          </rPr>
          <t>Enter:
No. of years of data.
1
2
3...</t>
        </r>
      </text>
    </comment>
    <comment ref="AJ11" authorId="0">
      <text>
        <r>
          <rPr>
            <sz val="9"/>
            <color indexed="81"/>
            <rFont val="Tahoma"/>
            <family val="2"/>
          </rPr>
          <t>Enter:
No. of observed accidents over T years.
1
2
3...</t>
        </r>
      </text>
    </comment>
    <comment ref="P14" authorId="1">
      <text>
        <r>
          <rPr>
            <b/>
            <sz val="9"/>
            <color indexed="81"/>
            <rFont val="Tahoma"/>
            <charset val="1"/>
          </rPr>
          <t>Carter Danne:</t>
        </r>
        <r>
          <rPr>
            <sz val="9"/>
            <color indexed="81"/>
            <rFont val="Tahoma"/>
            <charset val="1"/>
          </rPr>
          <t xml:space="preserve">
Crossing didn't exist.</t>
        </r>
      </text>
    </comment>
    <comment ref="W22" authorId="1">
      <text>
        <r>
          <rPr>
            <sz val="9"/>
            <color indexed="81"/>
            <rFont val="Tahoma"/>
            <family val="2"/>
          </rPr>
          <t>Overrode database value.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S26" authorId="1">
      <text>
        <r>
          <rPr>
            <sz val="9"/>
            <color indexed="81"/>
            <rFont val="Tahoma"/>
            <charset val="1"/>
          </rPr>
          <t>Overrode FRA database value.</t>
        </r>
      </text>
    </comment>
    <comment ref="I37" authorId="1">
      <text>
        <r>
          <rPr>
            <sz val="9"/>
            <color indexed="81"/>
            <rFont val="Tahoma"/>
            <charset val="1"/>
          </rPr>
          <t>Ped crossings.</t>
        </r>
      </text>
    </comment>
    <comment ref="W50" authorId="1">
      <text>
        <r>
          <rPr>
            <sz val="9"/>
            <color indexed="81"/>
            <rFont val="Tahoma"/>
            <family val="2"/>
          </rPr>
          <t>Overrode database value.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S54" authorId="1">
      <text>
        <r>
          <rPr>
            <sz val="9"/>
            <color indexed="81"/>
            <rFont val="Tahoma"/>
            <charset val="1"/>
          </rPr>
          <t>Overrode FRA database value.</t>
        </r>
      </text>
    </comment>
    <comment ref="I65" authorId="1">
      <text>
        <r>
          <rPr>
            <b/>
            <sz val="9"/>
            <color indexed="81"/>
            <rFont val="Tahoma"/>
            <charset val="1"/>
          </rPr>
          <t>Carter Danne:</t>
        </r>
        <r>
          <rPr>
            <sz val="9"/>
            <color indexed="81"/>
            <rFont val="Tahoma"/>
            <charset val="1"/>
          </rPr>
          <t xml:space="preserve">
Ped crossings.</t>
        </r>
      </text>
    </comment>
    <comment ref="W78" authorId="1">
      <text>
        <r>
          <rPr>
            <sz val="9"/>
            <color indexed="81"/>
            <rFont val="Tahoma"/>
            <family val="2"/>
          </rPr>
          <t>Overrode database value.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93" authorId="1">
      <text>
        <r>
          <rPr>
            <b/>
            <sz val="9"/>
            <color indexed="81"/>
            <rFont val="Tahoma"/>
            <charset val="1"/>
          </rPr>
          <t>Carter Danne:</t>
        </r>
        <r>
          <rPr>
            <sz val="9"/>
            <color indexed="81"/>
            <rFont val="Tahoma"/>
            <charset val="1"/>
          </rPr>
          <t xml:space="preserve">
Ped crossings.</t>
        </r>
      </text>
    </comment>
    <comment ref="W106" authorId="1">
      <text>
        <r>
          <rPr>
            <sz val="9"/>
            <color indexed="81"/>
            <rFont val="Tahoma"/>
            <family val="2"/>
          </rPr>
          <t>Overrode database value.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<sst xmlns="http://schemas.openxmlformats.org/spreadsheetml/2006/main" count="623" uniqueCount="184">
  <si>
    <t>FRA Prediction Model</t>
  </si>
  <si>
    <t xml:space="preserve">a = </t>
  </si>
  <si>
    <t>K x EI x MT x DT x HP x MS x HT x HL</t>
  </si>
  <si>
    <t>K =</t>
  </si>
  <si>
    <t>formula constant</t>
  </si>
  <si>
    <t>EI =</t>
  </si>
  <si>
    <t>factor for exposure index based on product of highway and train traffic</t>
  </si>
  <si>
    <t>MT =</t>
  </si>
  <si>
    <t>factor for number of main tracks</t>
  </si>
  <si>
    <t>DT =</t>
  </si>
  <si>
    <t>factor for number of through trains per day during daylight</t>
  </si>
  <si>
    <t>HP =</t>
  </si>
  <si>
    <t>factor for highway paved (yes or no)</t>
  </si>
  <si>
    <t>MS =</t>
  </si>
  <si>
    <t>factor for maximum timetable speed</t>
  </si>
  <si>
    <t>HT =</t>
  </si>
  <si>
    <t>factor for highway type</t>
  </si>
  <si>
    <t>HL =</t>
  </si>
  <si>
    <t>factor for number of highway lanes</t>
  </si>
  <si>
    <t>Source: Railroad-Highway Grade Crossing Handbook, Revised Second Edition. Washington, DC: U.S. Department of Transportation, Federal Highway Administration, pages 55, 56, and 58</t>
  </si>
  <si>
    <t xml:space="preserve">B = </t>
  </si>
  <si>
    <t>Equation #1</t>
  </si>
  <si>
    <t>Equation #2</t>
  </si>
  <si>
    <t>initial collision prediction (Equation #1), collisions per year at the crossing</t>
  </si>
  <si>
    <t>B =</t>
  </si>
  <si>
    <t>second collision prediction (Equation #2), collisions per year at the crossing</t>
  </si>
  <si>
    <t>N/T =</t>
  </si>
  <si>
    <t>Equation #3</t>
  </si>
  <si>
    <t>B * N</t>
  </si>
  <si>
    <t>N =</t>
  </si>
  <si>
    <t>page 55</t>
  </si>
  <si>
    <t>page 56</t>
  </si>
  <si>
    <t>page 58</t>
  </si>
  <si>
    <t>normalizing constant for passive devices, flashing lights, gates (note: these three normalizing constants change every year)</t>
  </si>
  <si>
    <t>final answer/prediction, collisions per year at the crossing</t>
  </si>
  <si>
    <t>A =</t>
  </si>
  <si>
    <t>Crossing Category</t>
  </si>
  <si>
    <t>Passive</t>
  </si>
  <si>
    <t>Lights</t>
  </si>
  <si>
    <t>Gates</t>
  </si>
  <si>
    <t>No. of Main Tracks</t>
  </si>
  <si>
    <t>No. of Day Thru Trains</t>
  </si>
  <si>
    <t>Highway Paved</t>
  </si>
  <si>
    <t>Yes</t>
  </si>
  <si>
    <t>N</t>
  </si>
  <si>
    <t>Max Speed</t>
  </si>
  <si>
    <t>Highway Type</t>
  </si>
  <si>
    <t>No. of Highway Lanes</t>
  </si>
  <si>
    <t>Total Vehicles Per Day</t>
  </si>
  <si>
    <t>Total Trains Per Day</t>
  </si>
  <si>
    <t>Crossing ID</t>
  </si>
  <si>
    <t>Crossing Name</t>
  </si>
  <si>
    <t>Crossing MP</t>
  </si>
  <si>
    <t>To</t>
  </si>
  <si>
    <t>T</t>
  </si>
  <si>
    <t>a</t>
  </si>
  <si>
    <t>N/T</t>
  </si>
  <si>
    <t>((To/(To + T))*a) + ((To/(To + T))*(N/T))</t>
  </si>
  <si>
    <t>To /
(To + T)</t>
  </si>
  <si>
    <t>To =</t>
  </si>
  <si>
    <t>1/(.05 + a)</t>
  </si>
  <si>
    <t>T =</t>
  </si>
  <si>
    <t>number of years of data</t>
  </si>
  <si>
    <t>collisions per year, where N is the number of observed collisions in T years at the crossing</t>
  </si>
  <si>
    <t>Condition</t>
  </si>
  <si>
    <t>Existing</t>
  </si>
  <si>
    <t>Build</t>
  </si>
  <si>
    <t>No Action</t>
  </si>
  <si>
    <t>Equation #1
 a = K x EI x MT x DT x HP x MS x HT x HL</t>
  </si>
  <si>
    <t>Equation #2
B = ((To/(To + T))*a) + ((To/(To + T))*(N/T))</t>
  </si>
  <si>
    <t>Equation #3
A = B * N (most recent normalizing constant)</t>
  </si>
  <si>
    <t>Equation #1
(a)</t>
  </si>
  <si>
    <t>Equation #2
(B)</t>
  </si>
  <si>
    <t>Equation #3
(A)</t>
  </si>
  <si>
    <t>Route Alignment</t>
  </si>
  <si>
    <t>Point Def</t>
  </si>
  <si>
    <t>Bypass</t>
  </si>
  <si>
    <t>Summary</t>
  </si>
  <si>
    <t>Formula Constant
(K)</t>
  </si>
  <si>
    <t>Exposure Index
(EI)</t>
  </si>
  <si>
    <t>Main Tracks Factor
(MT)</t>
  </si>
  <si>
    <t>Day Thru Trains Factor
(DT)</t>
  </si>
  <si>
    <t>Highway Paved Factor
(HP)</t>
  </si>
  <si>
    <t>Max Speed Factor
(MS)</t>
  </si>
  <si>
    <t>Highway Type Factor
(HT)</t>
  </si>
  <si>
    <t>Highway Lanes Factor
(HL)</t>
  </si>
  <si>
    <t>085714A</t>
  </si>
  <si>
    <t>085730J</t>
  </si>
  <si>
    <t>085742D</t>
  </si>
  <si>
    <t>085743K</t>
  </si>
  <si>
    <t>085754X</t>
  </si>
  <si>
    <t>085755E</t>
  </si>
  <si>
    <t>085758A</t>
  </si>
  <si>
    <t>E "D" St</t>
  </si>
  <si>
    <t>McCarver</t>
  </si>
  <si>
    <t>6th Ave</t>
  </si>
  <si>
    <t>S 19th St</t>
  </si>
  <si>
    <t>Sunnyside Beach Ped</t>
  </si>
  <si>
    <t>Steilacoom/Union Ferry Terminal</t>
  </si>
  <si>
    <t>Solo Point Road</t>
  </si>
  <si>
    <t>WDCode</t>
  </si>
  <si>
    <t>No sign or signal</t>
  </si>
  <si>
    <t>Other signs or signals</t>
  </si>
  <si>
    <t>Stop signs</t>
  </si>
  <si>
    <t>Crossbucks</t>
  </si>
  <si>
    <t>Non-train activated special protection</t>
  </si>
  <si>
    <t>Highway traffic signals, wigwags, or bells</t>
  </si>
  <si>
    <t>Flashing lights</t>
  </si>
  <si>
    <t>Crossing Categorgy</t>
  </si>
  <si>
    <t>TRAFICLN</t>
  </si>
  <si>
    <t>AADT</t>
  </si>
  <si>
    <t>HWYCLASS</t>
  </si>
  <si>
    <t>XSUROTHR</t>
  </si>
  <si>
    <t>DAYTHRU</t>
  </si>
  <si>
    <t>Access database field --&gt;</t>
  </si>
  <si>
    <t>MAINTRK</t>
  </si>
  <si>
    <t>HWYPVED</t>
  </si>
  <si>
    <t>MAXTTSPEED</t>
  </si>
  <si>
    <t>Warning Device</t>
  </si>
  <si>
    <t>No</t>
  </si>
  <si>
    <t>396639A</t>
  </si>
  <si>
    <t>396640U</t>
  </si>
  <si>
    <t>n/a NEW</t>
  </si>
  <si>
    <t>085372C</t>
  </si>
  <si>
    <t>085373J</t>
  </si>
  <si>
    <t>085382H</t>
  </si>
  <si>
    <t>085385D</t>
  </si>
  <si>
    <t>085391G</t>
  </si>
  <si>
    <t>085392N</t>
  </si>
  <si>
    <t>085394C</t>
  </si>
  <si>
    <t>085396R</t>
  </si>
  <si>
    <t>085400D</t>
  </si>
  <si>
    <t>085402S</t>
  </si>
  <si>
    <t>085404F</t>
  </si>
  <si>
    <t>085822W</t>
  </si>
  <si>
    <t>085828M</t>
  </si>
  <si>
    <t>085829U</t>
  </si>
  <si>
    <t>085830N</t>
  </si>
  <si>
    <t>085836E</t>
  </si>
  <si>
    <t>085374R</t>
  </si>
  <si>
    <t>Steilacoom Blvd SW</t>
  </si>
  <si>
    <t>Bridgeport Way SW</t>
  </si>
  <si>
    <t>Clover Creek Dr SW</t>
  </si>
  <si>
    <t>Berkeley Street SW</t>
  </si>
  <si>
    <t>Barksdale Ave</t>
  </si>
  <si>
    <t>100th Street SW</t>
  </si>
  <si>
    <t>108th Street SW</t>
  </si>
  <si>
    <t>41st Division Dr</t>
  </si>
  <si>
    <t>E “C” Street</t>
  </si>
  <si>
    <t>S “C” Street</t>
  </si>
  <si>
    <t>S Chandler Street</t>
  </si>
  <si>
    <t>S Alaska Street</t>
  </si>
  <si>
    <t>S Wilkeson Street</t>
  </si>
  <si>
    <t>S Pine Street</t>
  </si>
  <si>
    <t>S 56th Street</t>
  </si>
  <si>
    <t>S 74th Street</t>
  </si>
  <si>
    <t>N Thorne Lane SW</t>
  </si>
  <si>
    <t>REQUIRES INPUT</t>
  </si>
  <si>
    <t>Growth Factor</t>
  </si>
  <si>
    <t>E “D” Street</t>
  </si>
  <si>
    <t>Historic (Pre-ST)</t>
  </si>
  <si>
    <t>085821P</t>
  </si>
  <si>
    <t>AADT (Access DB)</t>
  </si>
  <si>
    <t>Year</t>
  </si>
  <si>
    <t>ADT (est from PM peak)</t>
  </si>
  <si>
    <t>ADT (from Tacoma GIS)</t>
  </si>
  <si>
    <t>Historic Experience</t>
  </si>
  <si>
    <t>est.</t>
  </si>
  <si>
    <t>n/a</t>
  </si>
  <si>
    <t>S 60th Street</t>
  </si>
  <si>
    <t>S 35th Street</t>
  </si>
  <si>
    <t>S 50th Street</t>
  </si>
  <si>
    <t>% Change from No Action</t>
  </si>
  <si>
    <t>% Train Volume Increase from No Action</t>
  </si>
  <si>
    <t>All Crossings</t>
  </si>
  <si>
    <t>Bypass+Point Defiance</t>
  </si>
  <si>
    <r>
      <t xml:space="preserve">Existing
with
</t>
    </r>
    <r>
      <rPr>
        <b/>
        <i/>
        <sz val="11"/>
        <color theme="1"/>
        <rFont val="Calibri"/>
        <family val="2"/>
        <scheme val="minor"/>
      </rPr>
      <t>Sounder</t>
    </r>
  </si>
  <si>
    <r>
      <t xml:space="preserve">Existing
without
</t>
    </r>
    <r>
      <rPr>
        <b/>
        <i/>
        <sz val="11"/>
        <color theme="1"/>
        <rFont val="Calibri"/>
        <family val="2"/>
        <scheme val="minor"/>
      </rPr>
      <t>Sounder</t>
    </r>
  </si>
  <si>
    <t>Train Crossing Events</t>
  </si>
  <si>
    <t>Accidents per
Million Train Crossings</t>
  </si>
  <si>
    <t>Existing
without
Sounder</t>
  </si>
  <si>
    <t>Existing
with
Sounder</t>
  </si>
  <si>
    <t>Summary
(Years Between Accidents)</t>
  </si>
  <si>
    <t>Existing without Sounder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</si>
</sst>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000"/>
    <numFmt numFmtId="166" formatCode="0.000"/>
    <numFmt numFmtId="167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0" borderId="0" xfId="0" applyFont="1"/>
    <xf numFmtId="0" fontId="4" fillId="0" borderId="0" xfId="0" quotePrefix="1" applyFont="1"/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0" fillId="0" borderId="0" xfId="0" applyFill="1" applyAlignment="1">
      <alignment wrapText="1"/>
    </xf>
    <xf numFmtId="2" fontId="0" fillId="2" borderId="0" xfId="0" applyNumberFormat="1" applyFill="1" applyAlignment="1">
      <alignment horizontal="center"/>
    </xf>
    <xf numFmtId="0" fontId="0" fillId="2" borderId="0" xfId="0" applyFill="1"/>
    <xf numFmtId="0" fontId="0" fillId="0" borderId="0" xfId="0"/>
    <xf numFmtId="0" fontId="0" fillId="2" borderId="0" xfId="0" applyFill="1" applyAlignment="1">
      <alignment horizontal="left"/>
    </xf>
    <xf numFmtId="0" fontId="6" fillId="2" borderId="0" xfId="0" quotePrefix="1" applyFont="1" applyFill="1"/>
    <xf numFmtId="0" fontId="0" fillId="0" borderId="0" xfId="0" quotePrefix="1" applyAlignment="1">
      <alignment horizontal="left"/>
    </xf>
    <xf numFmtId="2" fontId="0" fillId="0" borderId="0" xfId="0" applyNumberFormat="1" applyAlignment="1">
      <alignment horizontal="center"/>
    </xf>
    <xf numFmtId="2" fontId="1" fillId="2" borderId="0" xfId="0" applyNumberFormat="1" applyFont="1" applyFill="1" applyAlignment="1">
      <alignment horizontal="center" vertical="center" wrapText="1"/>
    </xf>
    <xf numFmtId="2" fontId="0" fillId="0" borderId="0" xfId="0" applyNumberFormat="1"/>
    <xf numFmtId="2" fontId="1" fillId="0" borderId="0" xfId="0" applyNumberFormat="1" applyFont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left"/>
    </xf>
    <xf numFmtId="0" fontId="5" fillId="0" borderId="0" xfId="0" applyFont="1" applyFill="1"/>
    <xf numFmtId="0" fontId="1" fillId="8" borderId="0" xfId="0" applyFont="1" applyFill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0" xfId="0" applyNumberFormat="1"/>
    <xf numFmtId="165" fontId="1" fillId="0" borderId="0" xfId="0" applyNumberFormat="1" applyFont="1" applyAlignment="1">
      <alignment horizontal="center" vertical="center" wrapText="1"/>
    </xf>
    <xf numFmtId="165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1" fillId="2" borderId="0" xfId="0" applyNumberFormat="1" applyFont="1" applyFill="1" applyAlignment="1">
      <alignment horizontal="center" vertical="center" wrapText="1"/>
    </xf>
    <xf numFmtId="1" fontId="1" fillId="0" borderId="0" xfId="0" applyNumberFormat="1" applyFont="1"/>
    <xf numFmtId="1" fontId="0" fillId="0" borderId="0" xfId="0" applyNumberFormat="1"/>
    <xf numFmtId="166" fontId="0" fillId="0" borderId="0" xfId="0" applyNumberFormat="1" applyFill="1" applyAlignment="1">
      <alignment horizontal="center"/>
    </xf>
    <xf numFmtId="9" fontId="0" fillId="0" borderId="0" xfId="1" applyFont="1" applyFill="1"/>
    <xf numFmtId="0" fontId="1" fillId="0" borderId="0" xfId="0" applyFont="1" applyAlignment="1">
      <alignment wrapText="1"/>
    </xf>
    <xf numFmtId="0" fontId="1" fillId="9" borderId="1" xfId="0" applyFont="1" applyFill="1" applyBorder="1" applyAlignment="1">
      <alignment horizontal="left"/>
    </xf>
    <xf numFmtId="0" fontId="1" fillId="9" borderId="2" xfId="0" applyFont="1" applyFill="1" applyBorder="1" applyAlignment="1">
      <alignment horizontal="left"/>
    </xf>
    <xf numFmtId="2" fontId="1" fillId="9" borderId="2" xfId="0" applyNumberFormat="1" applyFont="1" applyFill="1" applyBorder="1" applyAlignment="1">
      <alignment horizontal="center"/>
    </xf>
    <xf numFmtId="9" fontId="1" fillId="9" borderId="3" xfId="1" applyFont="1" applyFill="1" applyBorder="1"/>
    <xf numFmtId="0" fontId="1" fillId="9" borderId="4" xfId="0" applyFont="1" applyFill="1" applyBorder="1" applyAlignment="1">
      <alignment horizontal="left"/>
    </xf>
    <xf numFmtId="0" fontId="1" fillId="9" borderId="0" xfId="0" applyFont="1" applyFill="1" applyBorder="1" applyAlignment="1">
      <alignment horizontal="left"/>
    </xf>
    <xf numFmtId="2" fontId="1" fillId="9" borderId="0" xfId="0" applyNumberFormat="1" applyFont="1" applyFill="1" applyBorder="1" applyAlignment="1">
      <alignment horizontal="center"/>
    </xf>
    <xf numFmtId="9" fontId="1" fillId="9" borderId="5" xfId="1" applyFont="1" applyFill="1" applyBorder="1"/>
    <xf numFmtId="0" fontId="1" fillId="9" borderId="6" xfId="0" applyFont="1" applyFill="1" applyBorder="1" applyAlignment="1">
      <alignment horizontal="left"/>
    </xf>
    <xf numFmtId="0" fontId="1" fillId="9" borderId="7" xfId="0" applyFont="1" applyFill="1" applyBorder="1" applyAlignment="1">
      <alignment horizontal="left"/>
    </xf>
    <xf numFmtId="2" fontId="1" fillId="9" borderId="7" xfId="0" applyNumberFormat="1" applyFont="1" applyFill="1" applyBorder="1" applyAlignment="1">
      <alignment horizontal="center"/>
    </xf>
    <xf numFmtId="9" fontId="1" fillId="9" borderId="8" xfId="1" applyFont="1" applyFill="1" applyBorder="1"/>
    <xf numFmtId="0" fontId="1" fillId="4" borderId="4" xfId="0" applyFont="1" applyFill="1" applyBorder="1" applyAlignment="1">
      <alignment horizontal="center" vertical="center" wrapText="1"/>
    </xf>
    <xf numFmtId="165" fontId="1" fillId="4" borderId="5" xfId="0" applyNumberFormat="1" applyFont="1" applyFill="1" applyBorder="1" applyAlignment="1">
      <alignment horizontal="center" vertical="center" wrapText="1"/>
    </xf>
    <xf numFmtId="0" fontId="0" fillId="4" borderId="4" xfId="0" applyFill="1" applyBorder="1"/>
    <xf numFmtId="0" fontId="0" fillId="4" borderId="5" xfId="0" applyFill="1" applyBorder="1"/>
    <xf numFmtId="2" fontId="1" fillId="0" borderId="0" xfId="0" applyNumberFormat="1" applyFont="1" applyAlignment="1">
      <alignment horizontal="center" vertical="center" wrapText="1"/>
    </xf>
    <xf numFmtId="0" fontId="1" fillId="6" borderId="0" xfId="0" applyFont="1" applyFill="1" applyBorder="1" applyAlignment="1">
      <alignment horizontal="centerContinuous" wrapText="1"/>
    </xf>
    <xf numFmtId="0" fontId="1" fillId="6" borderId="0" xfId="0" applyFont="1" applyFill="1" applyBorder="1" applyAlignment="1">
      <alignment horizontal="centerContinuous"/>
    </xf>
    <xf numFmtId="167" fontId="11" fillId="9" borderId="2" xfId="0" applyNumberFormat="1" applyFont="1" applyFill="1" applyBorder="1" applyAlignment="1">
      <alignment horizontal="center" vertical="center"/>
    </xf>
    <xf numFmtId="167" fontId="11" fillId="9" borderId="0" xfId="0" applyNumberFormat="1" applyFont="1" applyFill="1" applyBorder="1" applyAlignment="1">
      <alignment horizontal="center" vertical="center"/>
    </xf>
    <xf numFmtId="167" fontId="11" fillId="9" borderId="7" xfId="0" applyNumberFormat="1" applyFont="1" applyFill="1" applyBorder="1" applyAlignment="1">
      <alignment horizontal="center" vertical="center"/>
    </xf>
    <xf numFmtId="167" fontId="0" fillId="4" borderId="6" xfId="0" applyNumberFormat="1" applyFill="1" applyBorder="1" applyAlignment="1">
      <alignment horizontal="center"/>
    </xf>
    <xf numFmtId="167" fontId="0" fillId="4" borderId="8" xfId="0" applyNumberFormat="1" applyFill="1" applyBorder="1" applyAlignment="1">
      <alignment horizontal="center"/>
    </xf>
    <xf numFmtId="1" fontId="1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9" fontId="0" fillId="0" borderId="0" xfId="1" applyFont="1"/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 wrapText="1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0" xfId="0" applyAlignment="1"/>
    <xf numFmtId="0" fontId="1" fillId="4" borderId="4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4" workbookViewId="0">
      <selection activeCell="M12" sqref="M12"/>
    </sheetView>
  </sheetViews>
  <sheetFormatPr defaultRowHeight="15" x14ac:dyDescent="0.25"/>
  <cols>
    <col min="1" max="1" width="14.42578125" customWidth="1"/>
  </cols>
  <sheetData>
    <row r="1" spans="1:3" x14ac:dyDescent="0.25">
      <c r="A1" s="2" t="s">
        <v>0</v>
      </c>
    </row>
    <row r="2" spans="1:3" x14ac:dyDescent="0.25">
      <c r="A2" s="1" t="s">
        <v>19</v>
      </c>
    </row>
    <row r="5" spans="1:3" x14ac:dyDescent="0.25">
      <c r="A5" s="7" t="s">
        <v>21</v>
      </c>
      <c r="B5" s="7" t="s">
        <v>1</v>
      </c>
      <c r="C5" s="8" t="s">
        <v>2</v>
      </c>
    </row>
    <row r="6" spans="1:3" x14ac:dyDescent="0.25">
      <c r="A6" s="1" t="s">
        <v>30</v>
      </c>
    </row>
    <row r="7" spans="1:3" x14ac:dyDescent="0.25">
      <c r="B7" t="s">
        <v>1</v>
      </c>
      <c r="C7" t="s">
        <v>23</v>
      </c>
    </row>
    <row r="8" spans="1:3" x14ac:dyDescent="0.25">
      <c r="B8" t="s">
        <v>3</v>
      </c>
      <c r="C8" t="s">
        <v>4</v>
      </c>
    </row>
    <row r="9" spans="1:3" x14ac:dyDescent="0.25">
      <c r="B9" t="s">
        <v>5</v>
      </c>
      <c r="C9" t="s">
        <v>6</v>
      </c>
    </row>
    <row r="10" spans="1:3" x14ac:dyDescent="0.25">
      <c r="B10" t="s">
        <v>7</v>
      </c>
      <c r="C10" t="s">
        <v>8</v>
      </c>
    </row>
    <row r="11" spans="1:3" x14ac:dyDescent="0.25">
      <c r="B11" t="s">
        <v>9</v>
      </c>
      <c r="C11" t="s">
        <v>10</v>
      </c>
    </row>
    <row r="12" spans="1:3" x14ac:dyDescent="0.25">
      <c r="B12" t="s">
        <v>11</v>
      </c>
      <c r="C12" t="s">
        <v>12</v>
      </c>
    </row>
    <row r="13" spans="1:3" x14ac:dyDescent="0.25">
      <c r="B13" t="s">
        <v>13</v>
      </c>
      <c r="C13" t="s">
        <v>14</v>
      </c>
    </row>
    <row r="14" spans="1:3" x14ac:dyDescent="0.25">
      <c r="B14" t="s">
        <v>15</v>
      </c>
      <c r="C14" t="s">
        <v>16</v>
      </c>
    </row>
    <row r="15" spans="1:3" x14ac:dyDescent="0.25">
      <c r="B15" t="s">
        <v>17</v>
      </c>
      <c r="C15" t="s">
        <v>18</v>
      </c>
    </row>
    <row r="17" spans="1:3" x14ac:dyDescent="0.25">
      <c r="A17" s="7" t="s">
        <v>22</v>
      </c>
      <c r="B17" s="7" t="s">
        <v>20</v>
      </c>
      <c r="C17" s="7" t="s">
        <v>57</v>
      </c>
    </row>
    <row r="18" spans="1:3" x14ac:dyDescent="0.25">
      <c r="A18" s="1" t="s">
        <v>31</v>
      </c>
    </row>
    <row r="19" spans="1:3" x14ac:dyDescent="0.25">
      <c r="B19" t="s">
        <v>24</v>
      </c>
      <c r="C19" t="s">
        <v>25</v>
      </c>
    </row>
    <row r="20" spans="1:3" x14ac:dyDescent="0.25">
      <c r="B20" t="s">
        <v>59</v>
      </c>
      <c r="C20" t="s">
        <v>60</v>
      </c>
    </row>
    <row r="21" spans="1:3" x14ac:dyDescent="0.25">
      <c r="B21" t="s">
        <v>61</v>
      </c>
      <c r="C21" t="s">
        <v>62</v>
      </c>
    </row>
    <row r="22" spans="1:3" x14ac:dyDescent="0.25">
      <c r="B22" t="s">
        <v>1</v>
      </c>
      <c r="C22" t="s">
        <v>23</v>
      </c>
    </row>
    <row r="23" spans="1:3" x14ac:dyDescent="0.25">
      <c r="B23" t="s">
        <v>26</v>
      </c>
      <c r="C23" t="s">
        <v>63</v>
      </c>
    </row>
    <row r="25" spans="1:3" x14ac:dyDescent="0.25">
      <c r="A25" s="7" t="s">
        <v>27</v>
      </c>
      <c r="B25" s="7" t="s">
        <v>35</v>
      </c>
      <c r="C25" s="7" t="s">
        <v>28</v>
      </c>
    </row>
    <row r="26" spans="1:3" x14ac:dyDescent="0.25">
      <c r="A26" s="1" t="s">
        <v>32</v>
      </c>
    </row>
    <row r="27" spans="1:3" x14ac:dyDescent="0.25">
      <c r="B27" t="s">
        <v>35</v>
      </c>
      <c r="C27" t="s">
        <v>34</v>
      </c>
    </row>
    <row r="28" spans="1:3" x14ac:dyDescent="0.25">
      <c r="B28" t="s">
        <v>24</v>
      </c>
      <c r="C28" t="s">
        <v>25</v>
      </c>
    </row>
    <row r="29" spans="1:3" x14ac:dyDescent="0.25">
      <c r="B29" t="s">
        <v>29</v>
      </c>
      <c r="C29" t="s">
        <v>33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D128"/>
  <sheetViews>
    <sheetView zoomScale="70" zoomScaleNormal="70" workbookViewId="0">
      <pane xSplit="7" ySplit="11" topLeftCell="H12" activePane="bottomRight" state="frozenSplit"/>
      <selection pane="topRight" activeCell="H1" sqref="H1"/>
      <selection pane="bottomLeft" activeCell="A12" sqref="A12"/>
      <selection pane="bottomRight" activeCell="F13" sqref="F13"/>
    </sheetView>
  </sheetViews>
  <sheetFormatPr defaultRowHeight="15" outlineLevelCol="1" x14ac:dyDescent="0.25"/>
  <cols>
    <col min="1" max="2" width="15.28515625" customWidth="1"/>
    <col min="4" max="4" width="31" bestFit="1" customWidth="1"/>
    <col min="5" max="5" width="9.140625" style="27"/>
    <col min="6" max="6" width="9.140625" style="4"/>
    <col min="7" max="7" width="9.140625" style="11"/>
    <col min="8" max="15" width="9.140625" style="4"/>
    <col min="16" max="16" width="9.140625" style="39"/>
    <col min="17" max="37" width="9.140625" style="4"/>
    <col min="38" max="38" width="9.140625" style="27"/>
    <col min="39" max="39" width="9.140625" style="4"/>
    <col min="40" max="47" width="9.140625" style="4" customWidth="1" outlineLevel="1"/>
    <col min="48" max="48" width="9.140625" style="4"/>
    <col min="49" max="49" width="9.140625" style="27"/>
  </cols>
  <sheetData>
    <row r="1" spans="1:108" x14ac:dyDescent="0.25">
      <c r="A1" s="25" t="s">
        <v>157</v>
      </c>
    </row>
    <row r="2" spans="1:108" x14ac:dyDescent="0.25">
      <c r="Q2" s="3"/>
    </row>
    <row r="3" spans="1:108" x14ac:dyDescent="0.25">
      <c r="G3" s="26"/>
      <c r="Q3" s="3"/>
    </row>
    <row r="4" spans="1:108" x14ac:dyDescent="0.25">
      <c r="G4" s="26"/>
      <c r="Q4" s="3"/>
    </row>
    <row r="5" spans="1:108" x14ac:dyDescent="0.25">
      <c r="G5" s="26"/>
      <c r="Q5" s="3"/>
    </row>
    <row r="6" spans="1:108" x14ac:dyDescent="0.25">
      <c r="G6" s="26"/>
      <c r="Q6" s="3"/>
    </row>
    <row r="7" spans="1:108" x14ac:dyDescent="0.25">
      <c r="G7" s="26"/>
      <c r="Q7" s="3"/>
      <c r="AM7" s="78" t="s">
        <v>70</v>
      </c>
      <c r="AN7" s="78"/>
      <c r="AO7" s="78"/>
      <c r="AP7" s="78"/>
      <c r="AQ7" s="78"/>
      <c r="AR7" s="78"/>
      <c r="AS7" s="78"/>
      <c r="AT7" s="78"/>
      <c r="AU7" s="78"/>
      <c r="AV7" s="78"/>
      <c r="AW7" s="78"/>
    </row>
    <row r="8" spans="1:108" ht="30" x14ac:dyDescent="0.25">
      <c r="G8" s="26"/>
      <c r="Q8" s="3"/>
      <c r="W8" s="4" t="s">
        <v>116</v>
      </c>
      <c r="AM8" s="5" t="s">
        <v>118</v>
      </c>
      <c r="AN8" s="5">
        <v>1986</v>
      </c>
      <c r="AO8" s="5">
        <v>1988</v>
      </c>
      <c r="AP8" s="5">
        <v>1990</v>
      </c>
      <c r="AQ8" s="5">
        <v>1992</v>
      </c>
      <c r="AR8" s="5">
        <v>1998</v>
      </c>
      <c r="AS8" s="5">
        <v>2003</v>
      </c>
      <c r="AT8" s="5">
        <v>2005</v>
      </c>
      <c r="AU8" s="5">
        <v>2007</v>
      </c>
      <c r="AV8" s="5">
        <v>2010</v>
      </c>
      <c r="AW8" s="79" t="s">
        <v>73</v>
      </c>
    </row>
    <row r="9" spans="1:108" x14ac:dyDescent="0.25">
      <c r="E9" s="27" t="s">
        <v>114</v>
      </c>
      <c r="G9" s="26" t="s">
        <v>100</v>
      </c>
      <c r="P9" s="39" t="s">
        <v>110</v>
      </c>
      <c r="Q9" s="3"/>
      <c r="S9" s="4" t="s">
        <v>115</v>
      </c>
      <c r="U9" s="4" t="s">
        <v>113</v>
      </c>
      <c r="W9" s="4" t="s">
        <v>112</v>
      </c>
      <c r="Y9" s="4" t="s">
        <v>117</v>
      </c>
      <c r="AA9" s="4" t="s">
        <v>111</v>
      </c>
      <c r="AC9" s="4" t="s">
        <v>109</v>
      </c>
      <c r="AM9" s="19" t="s">
        <v>37</v>
      </c>
      <c r="AN9" s="14">
        <v>0.86439999999999995</v>
      </c>
      <c r="AO9" s="14">
        <v>0.87780000000000002</v>
      </c>
      <c r="AP9" s="14">
        <v>0.94169999999999998</v>
      </c>
      <c r="AQ9" s="14">
        <v>0.82389999999999997</v>
      </c>
      <c r="AR9" s="14">
        <v>0.71589999999999998</v>
      </c>
      <c r="AS9" s="14">
        <v>0.65</v>
      </c>
      <c r="AT9" s="14">
        <v>0.64070000000000005</v>
      </c>
      <c r="AU9" s="17">
        <v>0.67679999999999996</v>
      </c>
      <c r="AV9" s="14">
        <v>0.46129999999999999</v>
      </c>
      <c r="AW9" s="80"/>
    </row>
    <row r="10" spans="1:108" ht="30" customHeight="1" x14ac:dyDescent="0.25">
      <c r="G10" s="74" t="s">
        <v>68</v>
      </c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6" t="s">
        <v>69</v>
      </c>
      <c r="AG10" s="77"/>
      <c r="AH10" s="77"/>
      <c r="AI10" s="77"/>
      <c r="AJ10" s="77"/>
      <c r="AK10" s="77"/>
      <c r="AL10" s="77"/>
      <c r="AM10" s="19" t="s">
        <v>38</v>
      </c>
      <c r="AN10" s="14">
        <v>0.88870000000000005</v>
      </c>
      <c r="AO10" s="14">
        <v>0.80130000000000001</v>
      </c>
      <c r="AP10" s="14">
        <v>0.83450000000000002</v>
      </c>
      <c r="AQ10" s="14">
        <v>0.69350000000000001</v>
      </c>
      <c r="AR10" s="14">
        <v>0.5292</v>
      </c>
      <c r="AS10" s="14">
        <v>0.50009999999999999</v>
      </c>
      <c r="AT10" s="14">
        <v>0.52329999999999999</v>
      </c>
      <c r="AU10" s="17">
        <v>0.46050000000000002</v>
      </c>
      <c r="AV10" s="14">
        <v>0.2918</v>
      </c>
      <c r="AW10" s="80"/>
    </row>
    <row r="11" spans="1:108" ht="60" x14ac:dyDescent="0.25">
      <c r="A11" s="12" t="s">
        <v>64</v>
      </c>
      <c r="B11" s="12" t="s">
        <v>74</v>
      </c>
      <c r="C11" s="12" t="s">
        <v>50</v>
      </c>
      <c r="D11" s="12" t="s">
        <v>51</v>
      </c>
      <c r="E11" s="28" t="s">
        <v>52</v>
      </c>
      <c r="F11" s="12" t="s">
        <v>100</v>
      </c>
      <c r="G11" s="12" t="s">
        <v>36</v>
      </c>
      <c r="H11" s="5" t="s">
        <v>78</v>
      </c>
      <c r="I11" s="34" t="s">
        <v>162</v>
      </c>
      <c r="J11" s="34" t="s">
        <v>163</v>
      </c>
      <c r="K11" s="34" t="s">
        <v>164</v>
      </c>
      <c r="L11" s="34" t="s">
        <v>163</v>
      </c>
      <c r="M11" s="34" t="s">
        <v>165</v>
      </c>
      <c r="N11" s="34" t="s">
        <v>163</v>
      </c>
      <c r="O11" s="34" t="s">
        <v>158</v>
      </c>
      <c r="P11" s="40" t="s">
        <v>48</v>
      </c>
      <c r="Q11" s="12" t="s">
        <v>49</v>
      </c>
      <c r="R11" s="5" t="s">
        <v>79</v>
      </c>
      <c r="S11" s="12" t="s">
        <v>40</v>
      </c>
      <c r="T11" s="5" t="s">
        <v>80</v>
      </c>
      <c r="U11" s="12" t="s">
        <v>41</v>
      </c>
      <c r="V11" s="5" t="s">
        <v>81</v>
      </c>
      <c r="W11" s="12" t="s">
        <v>42</v>
      </c>
      <c r="X11" s="5" t="s">
        <v>82</v>
      </c>
      <c r="Y11" s="12" t="s">
        <v>45</v>
      </c>
      <c r="Z11" s="5" t="s">
        <v>83</v>
      </c>
      <c r="AA11" s="12" t="s">
        <v>46</v>
      </c>
      <c r="AB11" s="5" t="s">
        <v>84</v>
      </c>
      <c r="AC11" s="12" t="s">
        <v>47</v>
      </c>
      <c r="AD11" s="5" t="s">
        <v>85</v>
      </c>
      <c r="AE11" s="5" t="s">
        <v>71</v>
      </c>
      <c r="AF11" s="5" t="s">
        <v>53</v>
      </c>
      <c r="AG11" s="12" t="s">
        <v>54</v>
      </c>
      <c r="AH11" s="5" t="s">
        <v>58</v>
      </c>
      <c r="AI11" s="5" t="s">
        <v>55</v>
      </c>
      <c r="AJ11" s="12" t="s">
        <v>44</v>
      </c>
      <c r="AK11" s="5" t="s">
        <v>56</v>
      </c>
      <c r="AL11" s="30" t="s">
        <v>72</v>
      </c>
      <c r="AM11" s="19" t="s">
        <v>39</v>
      </c>
      <c r="AN11" s="14">
        <v>0.81310000000000004</v>
      </c>
      <c r="AO11" s="14">
        <v>0.8911</v>
      </c>
      <c r="AP11" s="14">
        <v>0.8901</v>
      </c>
      <c r="AQ11" s="14">
        <v>0.6714</v>
      </c>
      <c r="AR11" s="14">
        <v>0.49209999999999998</v>
      </c>
      <c r="AS11" s="14">
        <v>0.57250000000000001</v>
      </c>
      <c r="AT11" s="14">
        <v>0.65129999999999999</v>
      </c>
      <c r="AU11" s="17">
        <v>0.60389999999999999</v>
      </c>
      <c r="AV11" s="14">
        <v>0.46139999999999998</v>
      </c>
      <c r="AW11" s="80"/>
    </row>
    <row r="12" spans="1:108" s="13" customFormat="1" x14ac:dyDescent="0.25">
      <c r="A12" s="13" t="s">
        <v>160</v>
      </c>
      <c r="B12" s="13" t="s">
        <v>76</v>
      </c>
      <c r="C12" s="13" t="s">
        <v>120</v>
      </c>
      <c r="D12" s="13" t="s">
        <v>159</v>
      </c>
      <c r="E12" s="9">
        <v>2</v>
      </c>
      <c r="F12" s="14">
        <v>7</v>
      </c>
      <c r="G12" s="18" t="s">
        <v>38</v>
      </c>
      <c r="H12" s="14">
        <f t="shared" ref="H12:H43" si="0">IF(G12="Passive",0.002268,IF(G12="Lights",0.003646,IF(G12="Gates",0.001088,"Re-enter Crossing Category")))</f>
        <v>3.6459999999999999E-3</v>
      </c>
      <c r="I12" s="14">
        <v>4260</v>
      </c>
      <c r="J12" s="14">
        <v>1988</v>
      </c>
      <c r="K12" s="14">
        <f>(202+321)*10</f>
        <v>5230</v>
      </c>
      <c r="L12" s="14">
        <v>2010</v>
      </c>
      <c r="M12" s="14">
        <v>3171</v>
      </c>
      <c r="N12" s="14">
        <v>2006</v>
      </c>
      <c r="O12" s="14">
        <v>1</v>
      </c>
      <c r="P12" s="10">
        <f t="shared" ref="P12:P32" si="1">K12*O12</f>
        <v>5230</v>
      </c>
      <c r="Q12" s="14">
        <v>2</v>
      </c>
      <c r="R12" s="9">
        <f t="shared" ref="R12:R43" si="2">IF(G12="Passive",((P12*Q12+0.2)/0.2)^0.3334,IF(G12="Lights",((P12*Q12+0.2)/0.2)^0.2953,IF(G12="Gates",((P12*Q12+0.2)/0.2)^0.3116,"Re-enter Crossing Category")))</f>
        <v>24.738650259872738</v>
      </c>
      <c r="S12" s="14">
        <v>1</v>
      </c>
      <c r="T12" s="9">
        <f t="shared" ref="T12:T43" si="3">IF(G12="Passive",EXP(0.2094*S12),IF(G12="Lights",EXP(0.1088*S12),IF(G12="Gates",EXP(0.2912*S12),"Re-enter Crossing Category")))</f>
        <v>1.1149393401731398</v>
      </c>
      <c r="U12" s="14">
        <v>0</v>
      </c>
      <c r="V12" s="9">
        <f t="shared" ref="V12:V43" si="4">IF(G12="Passive",((U12+0.2)/0.2)^0.1336,IF(G12="Lights",((U12+0.2)/0.2)^0.047,IF(G12="Gates",1,"Re-enter Crossing Category")))</f>
        <v>1</v>
      </c>
      <c r="W12" s="14" t="s">
        <v>43</v>
      </c>
      <c r="X12" s="9">
        <f t="shared" ref="X12:X43" si="5">IF(G12="Passive",IF(W12="Yes",1,0.54),1)</f>
        <v>1</v>
      </c>
      <c r="Y12" s="14">
        <v>10</v>
      </c>
      <c r="Z12" s="9">
        <f t="shared" ref="Z12:Z43" si="6">IF(G12="Passive",EXP(0.0077*Y12),1)</f>
        <v>1</v>
      </c>
      <c r="AA12" s="14">
        <v>6</v>
      </c>
      <c r="AB12" s="9">
        <f t="shared" ref="AB12:AB43" si="7">IF(G12="Passive",EXP(-0.1*(AA12-1)),1)</f>
        <v>1</v>
      </c>
      <c r="AC12" s="14">
        <v>4</v>
      </c>
      <c r="AD12" s="9">
        <f t="shared" ref="AD12:AD43" si="8">IF(G12="Passive",1,IF(G12="Lights",EXP(0.138*(AC12-1)),IF(G12="Gates",EXP(0.1036*(AC12-1)),"Re-enter Crossing Category")))</f>
        <v>1.5128571268843947</v>
      </c>
      <c r="AE12" s="15">
        <f t="shared" ref="AE12:AE43" si="9">H12*R12*T12*V12*X12*Z12*AB12*AD12</f>
        <v>0.15213944243310126</v>
      </c>
      <c r="AF12" s="10">
        <f t="shared" ref="AF12:AF43" si="10">1/(0.05+AI12)</f>
        <v>4.94708003526305</v>
      </c>
      <c r="AG12" s="14">
        <v>5</v>
      </c>
      <c r="AH12" s="9">
        <f t="shared" ref="AH12:AH43" si="11">AF12/(AF12+AG12)</f>
        <v>0.49733992465380067</v>
      </c>
      <c r="AI12" s="9">
        <f t="shared" ref="AI12:AI43" si="12">AE12</f>
        <v>0.15213944243310126</v>
      </c>
      <c r="AJ12" s="14"/>
      <c r="AK12" s="9">
        <f t="shared" ref="AK12:AK43" si="13">AJ12/AG12</f>
        <v>0</v>
      </c>
      <c r="AL12" s="15">
        <f t="shared" ref="AL12:AL43" si="14">(AH12*AI12)+(AH12*AK12)</f>
        <v>7.566501883654983E-2</v>
      </c>
      <c r="AM12" s="16"/>
      <c r="AN12" s="14"/>
      <c r="AO12" s="14"/>
      <c r="AP12" s="14"/>
      <c r="AQ12" s="14"/>
      <c r="AR12" s="14"/>
      <c r="AS12" s="14"/>
      <c r="AT12" s="14"/>
      <c r="AU12" s="14"/>
      <c r="AV12" s="14"/>
      <c r="AW12" s="15">
        <f t="shared" ref="AW12:AW43" si="15">IF(G12="Passive",AL12*$AV$9,IF(G12="Lights",AL12*$AV$10,IF(G12="Gates",AL12*$AV$11,"Re-enter Crossing Category")))</f>
        <v>2.2079052496505241E-2</v>
      </c>
    </row>
    <row r="13" spans="1:108" s="13" customFormat="1" x14ac:dyDescent="0.25">
      <c r="A13" s="13" t="s">
        <v>160</v>
      </c>
      <c r="B13" s="13" t="s">
        <v>76</v>
      </c>
      <c r="C13" s="13" t="s">
        <v>121</v>
      </c>
      <c r="D13" s="13" t="s">
        <v>148</v>
      </c>
      <c r="E13" s="9">
        <v>2.1</v>
      </c>
      <c r="F13" s="14">
        <v>3</v>
      </c>
      <c r="G13" s="18" t="s">
        <v>37</v>
      </c>
      <c r="H13" s="14">
        <f t="shared" si="0"/>
        <v>2.2680000000000001E-3</v>
      </c>
      <c r="I13" s="14">
        <v>2500</v>
      </c>
      <c r="J13" s="14">
        <v>1988</v>
      </c>
      <c r="K13" s="14">
        <f>(59+93)*10</f>
        <v>1520</v>
      </c>
      <c r="L13" s="14">
        <v>2010</v>
      </c>
      <c r="M13" s="14"/>
      <c r="N13" s="14"/>
      <c r="O13" s="14">
        <v>1</v>
      </c>
      <c r="P13" s="10">
        <f t="shared" si="1"/>
        <v>1520</v>
      </c>
      <c r="Q13" s="14">
        <v>2</v>
      </c>
      <c r="R13" s="9">
        <f t="shared" si="2"/>
        <v>24.787696944948326</v>
      </c>
      <c r="S13" s="14">
        <v>1</v>
      </c>
      <c r="T13" s="9">
        <f t="shared" si="3"/>
        <v>1.2329380751384142</v>
      </c>
      <c r="U13" s="14">
        <v>0</v>
      </c>
      <c r="V13" s="9">
        <f t="shared" si="4"/>
        <v>1</v>
      </c>
      <c r="W13" s="14" t="s">
        <v>43</v>
      </c>
      <c r="X13" s="9">
        <f t="shared" si="5"/>
        <v>1</v>
      </c>
      <c r="Y13" s="14">
        <v>20</v>
      </c>
      <c r="Z13" s="9">
        <f t="shared" si="6"/>
        <v>1.1664908867784396</v>
      </c>
      <c r="AA13" s="14">
        <v>6</v>
      </c>
      <c r="AB13" s="9">
        <f t="shared" si="7"/>
        <v>0.60653065971263342</v>
      </c>
      <c r="AC13" s="14">
        <v>2</v>
      </c>
      <c r="AD13" s="9">
        <f t="shared" si="8"/>
        <v>1</v>
      </c>
      <c r="AE13" s="15">
        <f t="shared" si="9"/>
        <v>4.9040467519437053E-2</v>
      </c>
      <c r="AF13" s="10">
        <f t="shared" si="10"/>
        <v>10.096882870668461</v>
      </c>
      <c r="AG13" s="14">
        <v>5</v>
      </c>
      <c r="AH13" s="9">
        <f t="shared" si="11"/>
        <v>0.66880580297046377</v>
      </c>
      <c r="AI13" s="9">
        <f t="shared" si="12"/>
        <v>4.9040467519437053E-2</v>
      </c>
      <c r="AJ13" s="14">
        <v>1</v>
      </c>
      <c r="AK13" s="9">
        <f t="shared" si="13"/>
        <v>0.2</v>
      </c>
      <c r="AL13" s="15">
        <f t="shared" si="14"/>
        <v>0.16655970985147681</v>
      </c>
      <c r="AM13" s="16"/>
      <c r="AN13" s="14"/>
      <c r="AO13" s="14"/>
      <c r="AP13" s="14"/>
      <c r="AQ13" s="14"/>
      <c r="AR13" s="14"/>
      <c r="AS13" s="14"/>
      <c r="AT13" s="14"/>
      <c r="AU13" s="14"/>
      <c r="AV13" s="14"/>
      <c r="AW13" s="15">
        <f t="shared" si="15"/>
        <v>7.6833994154486246E-2</v>
      </c>
    </row>
    <row r="14" spans="1:108" s="22" customFormat="1" x14ac:dyDescent="0.25">
      <c r="A14" s="13" t="s">
        <v>160</v>
      </c>
      <c r="B14" s="13" t="s">
        <v>76</v>
      </c>
      <c r="C14" s="13" t="s">
        <v>122</v>
      </c>
      <c r="D14" s="13" t="s">
        <v>149</v>
      </c>
      <c r="E14" s="9" t="s">
        <v>168</v>
      </c>
      <c r="F14" s="14" t="s">
        <v>168</v>
      </c>
      <c r="G14" s="18" t="s">
        <v>39</v>
      </c>
      <c r="H14" s="14">
        <f t="shared" si="0"/>
        <v>1.088E-3</v>
      </c>
      <c r="I14" s="14"/>
      <c r="J14" s="14"/>
      <c r="K14" s="14">
        <f>(53+129)*10</f>
        <v>1820</v>
      </c>
      <c r="L14" s="14">
        <v>2010</v>
      </c>
      <c r="M14" s="14"/>
      <c r="N14" s="14"/>
      <c r="O14" s="14">
        <v>1</v>
      </c>
      <c r="P14" s="10">
        <v>0</v>
      </c>
      <c r="Q14" s="14">
        <v>0</v>
      </c>
      <c r="R14" s="9">
        <f t="shared" si="2"/>
        <v>1</v>
      </c>
      <c r="S14" s="14"/>
      <c r="T14" s="9">
        <f t="shared" si="3"/>
        <v>1</v>
      </c>
      <c r="U14" s="14"/>
      <c r="V14" s="9">
        <f t="shared" si="4"/>
        <v>1</v>
      </c>
      <c r="W14" s="14"/>
      <c r="X14" s="9">
        <f t="shared" si="5"/>
        <v>1</v>
      </c>
      <c r="Y14" s="14"/>
      <c r="Z14" s="9">
        <f t="shared" si="6"/>
        <v>1</v>
      </c>
      <c r="AA14" s="14"/>
      <c r="AB14" s="9">
        <f t="shared" si="7"/>
        <v>1</v>
      </c>
      <c r="AC14" s="14">
        <v>2</v>
      </c>
      <c r="AD14" s="9">
        <f t="shared" si="8"/>
        <v>1.1091567034898182</v>
      </c>
      <c r="AE14" s="15">
        <f t="shared" si="9"/>
        <v>1.2067624933969222E-3</v>
      </c>
      <c r="AF14" s="10">
        <f t="shared" si="10"/>
        <v>19.52867065417286</v>
      </c>
      <c r="AG14" s="14">
        <v>5</v>
      </c>
      <c r="AH14" s="9">
        <f t="shared" si="11"/>
        <v>0.79615691080472839</v>
      </c>
      <c r="AI14" s="9">
        <f t="shared" si="12"/>
        <v>1.2067624933969222E-3</v>
      </c>
      <c r="AJ14" s="14"/>
      <c r="AK14" s="9">
        <f t="shared" si="13"/>
        <v>0</v>
      </c>
      <c r="AL14" s="15">
        <f t="shared" si="14"/>
        <v>9.6077229881790503E-4</v>
      </c>
      <c r="AM14" s="16"/>
      <c r="AN14" s="14"/>
      <c r="AO14" s="14"/>
      <c r="AP14" s="14"/>
      <c r="AQ14" s="14"/>
      <c r="AR14" s="14"/>
      <c r="AS14" s="14"/>
      <c r="AT14" s="14"/>
      <c r="AU14" s="14"/>
      <c r="AV14" s="14"/>
      <c r="AW14" s="15">
        <f t="shared" si="15"/>
        <v>4.4330033867458137E-4</v>
      </c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</row>
    <row r="15" spans="1:108" s="13" customFormat="1" x14ac:dyDescent="0.25">
      <c r="A15" s="13" t="s">
        <v>160</v>
      </c>
      <c r="B15" s="13" t="s">
        <v>76</v>
      </c>
      <c r="C15" s="13" t="s">
        <v>123</v>
      </c>
      <c r="D15" s="13" t="s">
        <v>150</v>
      </c>
      <c r="E15" s="9">
        <v>2.96</v>
      </c>
      <c r="F15" s="14">
        <v>7</v>
      </c>
      <c r="G15" s="18" t="s">
        <v>38</v>
      </c>
      <c r="H15" s="14">
        <f t="shared" si="0"/>
        <v>3.6459999999999999E-3</v>
      </c>
      <c r="I15" s="14">
        <v>948</v>
      </c>
      <c r="J15" s="14">
        <v>1988</v>
      </c>
      <c r="K15" s="14">
        <f>(21+25)*10</f>
        <v>460</v>
      </c>
      <c r="L15" s="14">
        <v>2010</v>
      </c>
      <c r="M15" s="14"/>
      <c r="N15" s="14"/>
      <c r="O15" s="14">
        <v>1</v>
      </c>
      <c r="P15" s="10">
        <f t="shared" si="1"/>
        <v>460</v>
      </c>
      <c r="Q15" s="14">
        <v>2</v>
      </c>
      <c r="R15" s="9">
        <f t="shared" si="2"/>
        <v>12.068137910079656</v>
      </c>
      <c r="S15" s="14">
        <v>1</v>
      </c>
      <c r="T15" s="9">
        <f t="shared" si="3"/>
        <v>1.1149393401731398</v>
      </c>
      <c r="U15" s="14">
        <v>0</v>
      </c>
      <c r="V15" s="9">
        <f t="shared" si="4"/>
        <v>1</v>
      </c>
      <c r="W15" s="14" t="s">
        <v>43</v>
      </c>
      <c r="X15" s="9">
        <f t="shared" si="5"/>
        <v>1</v>
      </c>
      <c r="Y15" s="14">
        <v>10</v>
      </c>
      <c r="Z15" s="9">
        <f t="shared" si="6"/>
        <v>1</v>
      </c>
      <c r="AA15" s="14">
        <v>6</v>
      </c>
      <c r="AB15" s="9">
        <f t="shared" si="7"/>
        <v>1</v>
      </c>
      <c r="AC15" s="14">
        <v>2</v>
      </c>
      <c r="AD15" s="9">
        <f t="shared" si="8"/>
        <v>1.1479755502741786</v>
      </c>
      <c r="AE15" s="15">
        <f t="shared" si="9"/>
        <v>5.6317167929197533E-2</v>
      </c>
      <c r="AF15" s="10">
        <f t="shared" si="10"/>
        <v>9.4058186413125213</v>
      </c>
      <c r="AG15" s="14">
        <v>5</v>
      </c>
      <c r="AH15" s="9">
        <f t="shared" si="11"/>
        <v>0.65291802399475107</v>
      </c>
      <c r="AI15" s="9">
        <f t="shared" si="12"/>
        <v>5.6317167929197533E-2</v>
      </c>
      <c r="AJ15" s="14"/>
      <c r="AK15" s="9">
        <f t="shared" si="13"/>
        <v>0</v>
      </c>
      <c r="AL15" s="15">
        <f t="shared" si="14"/>
        <v>3.6770494001312222E-2</v>
      </c>
      <c r="AM15" s="16"/>
      <c r="AN15" s="14"/>
      <c r="AO15" s="14"/>
      <c r="AP15" s="14"/>
      <c r="AQ15" s="14"/>
      <c r="AR15" s="14"/>
      <c r="AS15" s="14"/>
      <c r="AT15" s="14"/>
      <c r="AU15" s="14"/>
      <c r="AV15" s="14"/>
      <c r="AW15" s="15">
        <f t="shared" si="15"/>
        <v>1.0729630149582907E-2</v>
      </c>
    </row>
    <row r="16" spans="1:108" s="13" customFormat="1" x14ac:dyDescent="0.25">
      <c r="A16" s="13" t="s">
        <v>160</v>
      </c>
      <c r="B16" s="13" t="s">
        <v>76</v>
      </c>
      <c r="C16" s="13" t="s">
        <v>124</v>
      </c>
      <c r="D16" s="13" t="s">
        <v>151</v>
      </c>
      <c r="E16" s="9">
        <v>3.06</v>
      </c>
      <c r="F16" s="14">
        <v>7</v>
      </c>
      <c r="G16" s="18" t="s">
        <v>38</v>
      </c>
      <c r="H16" s="14">
        <f t="shared" si="0"/>
        <v>3.6459999999999999E-3</v>
      </c>
      <c r="I16" s="14">
        <v>100</v>
      </c>
      <c r="J16" s="14">
        <v>1988</v>
      </c>
      <c r="K16" s="14">
        <f>(8+12)*10</f>
        <v>200</v>
      </c>
      <c r="L16" s="14">
        <v>2010</v>
      </c>
      <c r="M16" s="14"/>
      <c r="N16" s="14"/>
      <c r="O16" s="14">
        <v>1</v>
      </c>
      <c r="P16" s="10">
        <f t="shared" si="1"/>
        <v>200</v>
      </c>
      <c r="Q16" s="14">
        <v>2</v>
      </c>
      <c r="R16" s="9">
        <f t="shared" si="2"/>
        <v>9.4375282637262234</v>
      </c>
      <c r="S16" s="14">
        <v>1</v>
      </c>
      <c r="T16" s="9">
        <f t="shared" si="3"/>
        <v>1.1149393401731398</v>
      </c>
      <c r="U16" s="14">
        <v>0</v>
      </c>
      <c r="V16" s="9">
        <f t="shared" si="4"/>
        <v>1</v>
      </c>
      <c r="W16" s="14" t="s">
        <v>43</v>
      </c>
      <c r="X16" s="9">
        <f t="shared" si="5"/>
        <v>1</v>
      </c>
      <c r="Y16" s="14">
        <v>10</v>
      </c>
      <c r="Z16" s="9">
        <f t="shared" si="6"/>
        <v>1</v>
      </c>
      <c r="AA16" s="14">
        <v>6</v>
      </c>
      <c r="AB16" s="9">
        <f t="shared" si="7"/>
        <v>1</v>
      </c>
      <c r="AC16" s="14">
        <v>2</v>
      </c>
      <c r="AD16" s="9">
        <f t="shared" si="8"/>
        <v>1.1479755502741786</v>
      </c>
      <c r="AE16" s="15">
        <f t="shared" si="9"/>
        <v>4.4041165921786314E-2</v>
      </c>
      <c r="AF16" s="10">
        <f t="shared" si="10"/>
        <v>10.63364102516228</v>
      </c>
      <c r="AG16" s="14">
        <v>5</v>
      </c>
      <c r="AH16" s="9">
        <f t="shared" si="11"/>
        <v>0.68017687038147279</v>
      </c>
      <c r="AI16" s="9">
        <f t="shared" si="12"/>
        <v>4.4041165921786314E-2</v>
      </c>
      <c r="AJ16" s="14"/>
      <c r="AK16" s="9">
        <f t="shared" si="13"/>
        <v>0</v>
      </c>
      <c r="AL16" s="15">
        <f t="shared" si="14"/>
        <v>2.9955782404631787E-2</v>
      </c>
      <c r="AM16" s="16"/>
      <c r="AN16" s="14"/>
      <c r="AO16" s="14"/>
      <c r="AP16" s="14"/>
      <c r="AQ16" s="14"/>
      <c r="AR16" s="14"/>
      <c r="AS16" s="14"/>
      <c r="AT16" s="14"/>
      <c r="AU16" s="14"/>
      <c r="AV16" s="14"/>
      <c r="AW16" s="15">
        <f t="shared" si="15"/>
        <v>8.7410973056715555E-3</v>
      </c>
    </row>
    <row r="17" spans="1:49" s="13" customFormat="1" x14ac:dyDescent="0.25">
      <c r="A17" s="13" t="s">
        <v>160</v>
      </c>
      <c r="B17" s="13" t="s">
        <v>76</v>
      </c>
      <c r="C17" s="20" t="s">
        <v>139</v>
      </c>
      <c r="D17" s="13" t="s">
        <v>152</v>
      </c>
      <c r="E17" s="9">
        <v>3.12</v>
      </c>
      <c r="F17" s="14">
        <v>7</v>
      </c>
      <c r="G17" s="18" t="s">
        <v>38</v>
      </c>
      <c r="H17" s="14">
        <f t="shared" si="0"/>
        <v>3.6459999999999999E-3</v>
      </c>
      <c r="I17" s="14">
        <v>3523</v>
      </c>
      <c r="J17" s="14">
        <v>1988</v>
      </c>
      <c r="K17" s="14">
        <f>(238+394)*10</f>
        <v>6320</v>
      </c>
      <c r="L17" s="14">
        <v>2010</v>
      </c>
      <c r="M17" s="14">
        <v>4525</v>
      </c>
      <c r="N17" s="14">
        <v>2005</v>
      </c>
      <c r="O17" s="14">
        <v>1</v>
      </c>
      <c r="P17" s="10">
        <f t="shared" si="1"/>
        <v>6320</v>
      </c>
      <c r="Q17" s="14">
        <v>2</v>
      </c>
      <c r="R17" s="9">
        <f t="shared" si="2"/>
        <v>26.160966364487845</v>
      </c>
      <c r="S17" s="14">
        <v>1</v>
      </c>
      <c r="T17" s="9">
        <f t="shared" si="3"/>
        <v>1.1149393401731398</v>
      </c>
      <c r="U17" s="14">
        <v>0</v>
      </c>
      <c r="V17" s="9">
        <f t="shared" si="4"/>
        <v>1</v>
      </c>
      <c r="W17" s="14" t="s">
        <v>43</v>
      </c>
      <c r="X17" s="9">
        <f t="shared" si="5"/>
        <v>1</v>
      </c>
      <c r="Y17" s="14">
        <v>10</v>
      </c>
      <c r="Z17" s="9">
        <f t="shared" si="6"/>
        <v>1</v>
      </c>
      <c r="AA17" s="14">
        <v>5</v>
      </c>
      <c r="AB17" s="9">
        <f t="shared" si="7"/>
        <v>1</v>
      </c>
      <c r="AC17" s="14">
        <v>2</v>
      </c>
      <c r="AD17" s="9">
        <f t="shared" si="8"/>
        <v>1.1479755502741786</v>
      </c>
      <c r="AE17" s="15">
        <f t="shared" si="9"/>
        <v>0.12208275600732055</v>
      </c>
      <c r="AF17" s="10">
        <f t="shared" si="10"/>
        <v>5.8111575105030235</v>
      </c>
      <c r="AG17" s="14">
        <v>5</v>
      </c>
      <c r="AH17" s="9">
        <f t="shared" si="11"/>
        <v>0.53751483177055681</v>
      </c>
      <c r="AI17" s="9">
        <f t="shared" si="12"/>
        <v>0.12208275600732055</v>
      </c>
      <c r="AJ17" s="14"/>
      <c r="AK17" s="9">
        <f t="shared" si="13"/>
        <v>0</v>
      </c>
      <c r="AL17" s="15">
        <f t="shared" si="14"/>
        <v>6.5621292057360836E-2</v>
      </c>
      <c r="AM17" s="16"/>
      <c r="AN17" s="14"/>
      <c r="AO17" s="14"/>
      <c r="AP17" s="14"/>
      <c r="AQ17" s="14"/>
      <c r="AR17" s="14"/>
      <c r="AS17" s="14"/>
      <c r="AT17" s="14"/>
      <c r="AU17" s="14"/>
      <c r="AV17" s="14"/>
      <c r="AW17" s="15">
        <f t="shared" si="15"/>
        <v>1.9148293022337892E-2</v>
      </c>
    </row>
    <row r="18" spans="1:49" s="13" customFormat="1" x14ac:dyDescent="0.25">
      <c r="A18" s="13" t="s">
        <v>160</v>
      </c>
      <c r="B18" s="13" t="s">
        <v>76</v>
      </c>
      <c r="C18" s="13" t="s">
        <v>125</v>
      </c>
      <c r="D18" s="13" t="s">
        <v>153</v>
      </c>
      <c r="E18" s="9">
        <v>3.79</v>
      </c>
      <c r="F18" s="14">
        <v>8</v>
      </c>
      <c r="G18" s="18" t="s">
        <v>39</v>
      </c>
      <c r="H18" s="14">
        <f t="shared" si="0"/>
        <v>1.088E-3</v>
      </c>
      <c r="I18" s="14">
        <v>13660</v>
      </c>
      <c r="J18" s="14">
        <v>1988</v>
      </c>
      <c r="K18" s="14">
        <f>(1105+946)*10</f>
        <v>20510</v>
      </c>
      <c r="L18" s="14">
        <v>2010</v>
      </c>
      <c r="M18" s="14">
        <v>19369</v>
      </c>
      <c r="N18" s="14">
        <v>2007</v>
      </c>
      <c r="O18" s="14">
        <v>1</v>
      </c>
      <c r="P18" s="10">
        <f t="shared" si="1"/>
        <v>20510</v>
      </c>
      <c r="Q18" s="14">
        <v>2</v>
      </c>
      <c r="R18" s="9">
        <f t="shared" si="2"/>
        <v>45.207361409724314</v>
      </c>
      <c r="S18" s="14">
        <v>1</v>
      </c>
      <c r="T18" s="9">
        <f t="shared" si="3"/>
        <v>1.3380321636239008</v>
      </c>
      <c r="U18" s="14">
        <v>0</v>
      </c>
      <c r="V18" s="9">
        <f t="shared" si="4"/>
        <v>1</v>
      </c>
      <c r="W18" s="14" t="s">
        <v>43</v>
      </c>
      <c r="X18" s="9">
        <f t="shared" si="5"/>
        <v>1</v>
      </c>
      <c r="Y18" s="14">
        <v>10</v>
      </c>
      <c r="Z18" s="9">
        <f t="shared" si="6"/>
        <v>1</v>
      </c>
      <c r="AA18" s="14">
        <v>4</v>
      </c>
      <c r="AB18" s="9">
        <f t="shared" si="7"/>
        <v>1</v>
      </c>
      <c r="AC18" s="14">
        <v>5</v>
      </c>
      <c r="AD18" s="9">
        <f t="shared" si="8"/>
        <v>1.5134623907798572</v>
      </c>
      <c r="AE18" s="15">
        <f t="shared" si="9"/>
        <v>9.9603876554014675E-2</v>
      </c>
      <c r="AF18" s="10">
        <f t="shared" si="10"/>
        <v>6.6843187692328856</v>
      </c>
      <c r="AG18" s="14">
        <v>5</v>
      </c>
      <c r="AH18" s="9">
        <f t="shared" si="11"/>
        <v>0.57207603637398319</v>
      </c>
      <c r="AI18" s="9">
        <f t="shared" si="12"/>
        <v>9.9603876554014675E-2</v>
      </c>
      <c r="AJ18" s="14"/>
      <c r="AK18" s="9">
        <f t="shared" si="13"/>
        <v>0</v>
      </c>
      <c r="AL18" s="15">
        <f t="shared" si="14"/>
        <v>5.6980990906504228E-2</v>
      </c>
      <c r="AM18" s="16"/>
      <c r="AN18" s="14"/>
      <c r="AO18" s="14"/>
      <c r="AP18" s="14"/>
      <c r="AQ18" s="14"/>
      <c r="AR18" s="14"/>
      <c r="AS18" s="14"/>
      <c r="AT18" s="14"/>
      <c r="AU18" s="14"/>
      <c r="AV18" s="14"/>
      <c r="AW18" s="15">
        <f t="shared" si="15"/>
        <v>2.629102920426105E-2</v>
      </c>
    </row>
    <row r="19" spans="1:49" s="13" customFormat="1" x14ac:dyDescent="0.25">
      <c r="A19" s="13" t="s">
        <v>160</v>
      </c>
      <c r="B19" s="13" t="s">
        <v>76</v>
      </c>
      <c r="C19" s="13" t="s">
        <v>126</v>
      </c>
      <c r="D19" s="13" t="s">
        <v>170</v>
      </c>
      <c r="E19" s="9">
        <v>4.1500000000000004</v>
      </c>
      <c r="F19" s="14">
        <v>8</v>
      </c>
      <c r="G19" s="18" t="s">
        <v>39</v>
      </c>
      <c r="H19" s="14">
        <f t="shared" si="0"/>
        <v>1.088E-3</v>
      </c>
      <c r="I19" s="14">
        <v>4100</v>
      </c>
      <c r="J19" s="14">
        <v>1988</v>
      </c>
      <c r="K19" s="14">
        <f>(173+193)*10</f>
        <v>3660</v>
      </c>
      <c r="L19" s="14">
        <v>2010</v>
      </c>
      <c r="M19" s="14">
        <v>5039</v>
      </c>
      <c r="N19" s="14">
        <v>2007</v>
      </c>
      <c r="O19" s="14">
        <v>1</v>
      </c>
      <c r="P19" s="10">
        <f t="shared" si="1"/>
        <v>3660</v>
      </c>
      <c r="Q19" s="14">
        <v>2</v>
      </c>
      <c r="R19" s="9">
        <f t="shared" si="2"/>
        <v>26.423138647081114</v>
      </c>
      <c r="S19" s="14">
        <v>1</v>
      </c>
      <c r="T19" s="9">
        <f t="shared" si="3"/>
        <v>1.3380321636239008</v>
      </c>
      <c r="U19" s="14">
        <v>2</v>
      </c>
      <c r="V19" s="9">
        <f t="shared" si="4"/>
        <v>1</v>
      </c>
      <c r="W19" s="14" t="s">
        <v>43</v>
      </c>
      <c r="X19" s="9">
        <f t="shared" si="5"/>
        <v>1</v>
      </c>
      <c r="Y19" s="14">
        <v>10</v>
      </c>
      <c r="Z19" s="9">
        <f t="shared" si="6"/>
        <v>1</v>
      </c>
      <c r="AA19" s="14">
        <v>6</v>
      </c>
      <c r="AB19" s="9">
        <f t="shared" si="7"/>
        <v>1</v>
      </c>
      <c r="AC19" s="14">
        <v>5</v>
      </c>
      <c r="AD19" s="9">
        <f t="shared" si="8"/>
        <v>1.5134623907798572</v>
      </c>
      <c r="AE19" s="15">
        <f t="shared" si="9"/>
        <v>5.8217222989868173E-2</v>
      </c>
      <c r="AF19" s="10">
        <f t="shared" si="10"/>
        <v>9.2406732715145061</v>
      </c>
      <c r="AG19" s="14">
        <v>5</v>
      </c>
      <c r="AH19" s="9">
        <f t="shared" si="11"/>
        <v>0.64889300493948865</v>
      </c>
      <c r="AI19" s="9">
        <f t="shared" si="12"/>
        <v>5.8217222989868173E-2</v>
      </c>
      <c r="AJ19" s="14"/>
      <c r="AK19" s="9">
        <f t="shared" si="13"/>
        <v>0</v>
      </c>
      <c r="AL19" s="15">
        <f t="shared" si="14"/>
        <v>3.7776748765127842E-2</v>
      </c>
      <c r="AM19" s="16"/>
      <c r="AN19" s="14"/>
      <c r="AO19" s="14"/>
      <c r="AP19" s="14"/>
      <c r="AQ19" s="14"/>
      <c r="AR19" s="14"/>
      <c r="AS19" s="14"/>
      <c r="AT19" s="14"/>
      <c r="AU19" s="14"/>
      <c r="AV19" s="14"/>
      <c r="AW19" s="15">
        <f t="shared" si="15"/>
        <v>1.7430191880229984E-2</v>
      </c>
    </row>
    <row r="20" spans="1:49" s="13" customFormat="1" x14ac:dyDescent="0.25">
      <c r="A20" s="13" t="s">
        <v>160</v>
      </c>
      <c r="B20" s="13" t="s">
        <v>76</v>
      </c>
      <c r="C20" s="13" t="s">
        <v>127</v>
      </c>
      <c r="D20" s="13" t="s">
        <v>171</v>
      </c>
      <c r="E20" s="9">
        <v>5.47</v>
      </c>
      <c r="F20" s="14">
        <v>3</v>
      </c>
      <c r="G20" s="18" t="s">
        <v>37</v>
      </c>
      <c r="H20" s="14">
        <f t="shared" si="0"/>
        <v>2.2680000000000001E-3</v>
      </c>
      <c r="I20" s="14">
        <v>1</v>
      </c>
      <c r="J20" s="14">
        <v>1988</v>
      </c>
      <c r="K20" s="14">
        <f>(63+19)*10</f>
        <v>820</v>
      </c>
      <c r="L20" s="14">
        <v>2010</v>
      </c>
      <c r="M20" s="14"/>
      <c r="N20" s="14"/>
      <c r="O20" s="14">
        <v>1</v>
      </c>
      <c r="P20" s="10">
        <f t="shared" si="1"/>
        <v>820</v>
      </c>
      <c r="Q20" s="14">
        <v>2</v>
      </c>
      <c r="R20" s="9">
        <f t="shared" si="2"/>
        <v>20.178235904752988</v>
      </c>
      <c r="S20" s="14">
        <v>1</v>
      </c>
      <c r="T20" s="9">
        <f t="shared" si="3"/>
        <v>1.2329380751384142</v>
      </c>
      <c r="U20" s="14">
        <v>0</v>
      </c>
      <c r="V20" s="9">
        <f t="shared" si="4"/>
        <v>1</v>
      </c>
      <c r="W20" s="14" t="s">
        <v>43</v>
      </c>
      <c r="X20" s="9">
        <f t="shared" si="5"/>
        <v>1</v>
      </c>
      <c r="Y20" s="14">
        <v>10</v>
      </c>
      <c r="Z20" s="9">
        <f t="shared" si="6"/>
        <v>1.0800420763926004</v>
      </c>
      <c r="AA20" s="14">
        <v>5</v>
      </c>
      <c r="AB20" s="9">
        <f t="shared" si="7"/>
        <v>0.67032004603563933</v>
      </c>
      <c r="AC20" s="14">
        <v>2</v>
      </c>
      <c r="AD20" s="9">
        <f t="shared" si="8"/>
        <v>1</v>
      </c>
      <c r="AE20" s="15">
        <f t="shared" si="9"/>
        <v>4.084984304085279E-2</v>
      </c>
      <c r="AF20" s="10">
        <f t="shared" si="10"/>
        <v>11.007173667326274</v>
      </c>
      <c r="AG20" s="14">
        <v>5</v>
      </c>
      <c r="AH20" s="9">
        <f t="shared" si="11"/>
        <v>0.68764004789890154</v>
      </c>
      <c r="AI20" s="9">
        <f t="shared" si="12"/>
        <v>4.084984304085279E-2</v>
      </c>
      <c r="AJ20" s="14"/>
      <c r="AK20" s="9">
        <f t="shared" si="13"/>
        <v>0</v>
      </c>
      <c r="AL20" s="15">
        <f t="shared" si="14"/>
        <v>2.8089988025274622E-2</v>
      </c>
      <c r="AM20" s="16"/>
      <c r="AN20" s="14"/>
      <c r="AO20" s="14"/>
      <c r="AP20" s="14"/>
      <c r="AQ20" s="14"/>
      <c r="AR20" s="14"/>
      <c r="AS20" s="14"/>
      <c r="AT20" s="14"/>
      <c r="AU20" s="14"/>
      <c r="AV20" s="14"/>
      <c r="AW20" s="15">
        <f t="shared" si="15"/>
        <v>1.2957911476059182E-2</v>
      </c>
    </row>
    <row r="21" spans="1:49" s="13" customFormat="1" x14ac:dyDescent="0.25">
      <c r="A21" s="13" t="s">
        <v>160</v>
      </c>
      <c r="B21" s="13" t="s">
        <v>76</v>
      </c>
      <c r="C21" s="13" t="s">
        <v>128</v>
      </c>
      <c r="D21" s="13" t="s">
        <v>154</v>
      </c>
      <c r="E21" s="9">
        <v>5.81</v>
      </c>
      <c r="F21" s="14">
        <v>7</v>
      </c>
      <c r="G21" s="18" t="s">
        <v>38</v>
      </c>
      <c r="H21" s="14">
        <f t="shared" si="0"/>
        <v>3.6459999999999999E-3</v>
      </c>
      <c r="I21" s="14">
        <v>10552</v>
      </c>
      <c r="J21" s="14">
        <v>1988</v>
      </c>
      <c r="K21" s="14">
        <f>(987+1408)*10</f>
        <v>23950</v>
      </c>
      <c r="L21" s="14">
        <v>2010</v>
      </c>
      <c r="M21" s="14">
        <v>30541</v>
      </c>
      <c r="N21" s="14">
        <v>2007</v>
      </c>
      <c r="O21" s="14">
        <v>1</v>
      </c>
      <c r="P21" s="10">
        <f t="shared" si="1"/>
        <v>23950</v>
      </c>
      <c r="Q21" s="14">
        <v>2</v>
      </c>
      <c r="R21" s="9">
        <f t="shared" si="2"/>
        <v>38.771218916149614</v>
      </c>
      <c r="S21" s="14">
        <v>1</v>
      </c>
      <c r="T21" s="9">
        <f t="shared" si="3"/>
        <v>1.1149393401731398</v>
      </c>
      <c r="U21" s="14">
        <v>0</v>
      </c>
      <c r="V21" s="9">
        <f t="shared" si="4"/>
        <v>1</v>
      </c>
      <c r="W21" s="14" t="s">
        <v>43</v>
      </c>
      <c r="X21" s="9">
        <f t="shared" si="5"/>
        <v>1</v>
      </c>
      <c r="Y21" s="14">
        <v>10</v>
      </c>
      <c r="Z21" s="9">
        <f t="shared" si="6"/>
        <v>1</v>
      </c>
      <c r="AA21" s="14">
        <v>3</v>
      </c>
      <c r="AB21" s="9">
        <f t="shared" si="7"/>
        <v>1</v>
      </c>
      <c r="AC21" s="14">
        <v>4</v>
      </c>
      <c r="AD21" s="9">
        <f t="shared" si="8"/>
        <v>1.5128571268843947</v>
      </c>
      <c r="AE21" s="15">
        <f t="shared" si="9"/>
        <v>0.23843789238261603</v>
      </c>
      <c r="AF21" s="10">
        <f t="shared" si="10"/>
        <v>3.4669508632849428</v>
      </c>
      <c r="AG21" s="14">
        <v>5</v>
      </c>
      <c r="AH21" s="9">
        <f t="shared" si="11"/>
        <v>0.40946864098604935</v>
      </c>
      <c r="AI21" s="9">
        <f t="shared" si="12"/>
        <v>0.23843789238261603</v>
      </c>
      <c r="AJ21" s="14"/>
      <c r="AK21" s="9">
        <f t="shared" si="13"/>
        <v>0</v>
      </c>
      <c r="AL21" s="15">
        <f t="shared" si="14"/>
        <v>9.7632839753487674E-2</v>
      </c>
      <c r="AM21" s="16"/>
      <c r="AN21" s="14"/>
      <c r="AO21" s="14"/>
      <c r="AP21" s="14"/>
      <c r="AQ21" s="14"/>
      <c r="AR21" s="14"/>
      <c r="AS21" s="14"/>
      <c r="AT21" s="14"/>
      <c r="AU21" s="14"/>
      <c r="AV21" s="14"/>
      <c r="AW21" s="15">
        <f t="shared" si="15"/>
        <v>2.8489262640067705E-2</v>
      </c>
    </row>
    <row r="22" spans="1:49" s="13" customFormat="1" x14ac:dyDescent="0.25">
      <c r="A22" s="13" t="s">
        <v>160</v>
      </c>
      <c r="B22" s="13" t="s">
        <v>76</v>
      </c>
      <c r="C22" s="13" t="s">
        <v>129</v>
      </c>
      <c r="D22" s="13" t="s">
        <v>169</v>
      </c>
      <c r="E22" s="9">
        <v>6.04</v>
      </c>
      <c r="F22" s="14">
        <v>3</v>
      </c>
      <c r="G22" s="18" t="s">
        <v>37</v>
      </c>
      <c r="H22" s="14">
        <f t="shared" si="0"/>
        <v>2.2680000000000001E-3</v>
      </c>
      <c r="I22" s="14">
        <v>100</v>
      </c>
      <c r="J22" s="14">
        <v>1988</v>
      </c>
      <c r="K22" s="14">
        <f>(32+42)*10</f>
        <v>740</v>
      </c>
      <c r="L22" s="14">
        <v>2010</v>
      </c>
      <c r="M22" s="14"/>
      <c r="N22" s="14"/>
      <c r="O22" s="14">
        <v>1</v>
      </c>
      <c r="P22" s="10">
        <f t="shared" si="1"/>
        <v>740</v>
      </c>
      <c r="Q22" s="14">
        <v>2</v>
      </c>
      <c r="R22" s="9">
        <f t="shared" si="2"/>
        <v>19.499407745695269</v>
      </c>
      <c r="S22" s="14">
        <v>1</v>
      </c>
      <c r="T22" s="9">
        <f t="shared" si="3"/>
        <v>1.2329380751384142</v>
      </c>
      <c r="U22" s="14">
        <v>0</v>
      </c>
      <c r="V22" s="9">
        <f t="shared" si="4"/>
        <v>1</v>
      </c>
      <c r="W22" s="14" t="s">
        <v>43</v>
      </c>
      <c r="X22" s="9">
        <f t="shared" si="5"/>
        <v>1</v>
      </c>
      <c r="Y22" s="14">
        <v>10</v>
      </c>
      <c r="Z22" s="9">
        <f t="shared" si="6"/>
        <v>1.0800420763926004</v>
      </c>
      <c r="AA22" s="14">
        <v>6</v>
      </c>
      <c r="AB22" s="9">
        <f t="shared" si="7"/>
        <v>0.60653065971263342</v>
      </c>
      <c r="AC22" s="14">
        <v>2</v>
      </c>
      <c r="AD22" s="9">
        <f t="shared" si="8"/>
        <v>1</v>
      </c>
      <c r="AE22" s="15">
        <f t="shared" si="9"/>
        <v>3.5718989958056085E-2</v>
      </c>
      <c r="AF22" s="10">
        <f t="shared" si="10"/>
        <v>11.666026401959691</v>
      </c>
      <c r="AG22" s="14">
        <v>5</v>
      </c>
      <c r="AH22" s="9">
        <f t="shared" si="11"/>
        <v>0.69998847479252346</v>
      </c>
      <c r="AI22" s="9">
        <f t="shared" si="12"/>
        <v>3.5718989958056085E-2</v>
      </c>
      <c r="AJ22" s="14"/>
      <c r="AK22" s="9">
        <f t="shared" si="13"/>
        <v>0</v>
      </c>
      <c r="AL22" s="15">
        <f t="shared" si="14"/>
        <v>2.5002881301869142E-2</v>
      </c>
      <c r="AM22" s="16"/>
      <c r="AN22" s="14"/>
      <c r="AO22" s="14"/>
      <c r="AP22" s="14"/>
      <c r="AQ22" s="14"/>
      <c r="AR22" s="14"/>
      <c r="AS22" s="14"/>
      <c r="AT22" s="14"/>
      <c r="AU22" s="14"/>
      <c r="AV22" s="14"/>
      <c r="AW22" s="15">
        <f t="shared" si="15"/>
        <v>1.1533829144552235E-2</v>
      </c>
    </row>
    <row r="23" spans="1:49" s="13" customFormat="1" x14ac:dyDescent="0.25">
      <c r="A23" s="13" t="s">
        <v>160</v>
      </c>
      <c r="B23" s="13" t="s">
        <v>76</v>
      </c>
      <c r="C23" s="13" t="s">
        <v>130</v>
      </c>
      <c r="D23" s="13" t="s">
        <v>155</v>
      </c>
      <c r="E23" s="9">
        <v>6.9</v>
      </c>
      <c r="F23" s="14">
        <v>7</v>
      </c>
      <c r="G23" s="18" t="s">
        <v>38</v>
      </c>
      <c r="H23" s="14">
        <f t="shared" si="0"/>
        <v>3.6459999999999999E-3</v>
      </c>
      <c r="I23" s="14">
        <v>14293</v>
      </c>
      <c r="J23" s="14">
        <v>1988</v>
      </c>
      <c r="K23" s="14">
        <f>(837+884)*10</f>
        <v>17210</v>
      </c>
      <c r="L23" s="14">
        <v>2010</v>
      </c>
      <c r="M23" s="14">
        <v>23115</v>
      </c>
      <c r="N23" s="14">
        <v>2007</v>
      </c>
      <c r="O23" s="14">
        <v>1</v>
      </c>
      <c r="P23" s="10">
        <f t="shared" si="1"/>
        <v>17210</v>
      </c>
      <c r="Q23" s="14">
        <v>2</v>
      </c>
      <c r="R23" s="9">
        <f t="shared" si="2"/>
        <v>35.166312914758024</v>
      </c>
      <c r="S23" s="14">
        <v>1</v>
      </c>
      <c r="T23" s="9">
        <f t="shared" si="3"/>
        <v>1.1149393401731398</v>
      </c>
      <c r="U23" s="14">
        <v>0</v>
      </c>
      <c r="V23" s="9">
        <f t="shared" si="4"/>
        <v>1</v>
      </c>
      <c r="W23" s="14" t="s">
        <v>43</v>
      </c>
      <c r="X23" s="9">
        <f t="shared" si="5"/>
        <v>1</v>
      </c>
      <c r="Y23" s="14">
        <v>10</v>
      </c>
      <c r="Z23" s="9">
        <f t="shared" si="6"/>
        <v>1</v>
      </c>
      <c r="AA23" s="14">
        <v>4</v>
      </c>
      <c r="AB23" s="9">
        <f t="shared" si="7"/>
        <v>1</v>
      </c>
      <c r="AC23" s="14">
        <v>5</v>
      </c>
      <c r="AD23" s="9">
        <f t="shared" si="8"/>
        <v>1.7367229927213259</v>
      </c>
      <c r="AE23" s="15">
        <f t="shared" si="9"/>
        <v>0.24827060020092159</v>
      </c>
      <c r="AF23" s="10">
        <f t="shared" si="10"/>
        <v>3.3526603001649447</v>
      </c>
      <c r="AG23" s="14">
        <v>5</v>
      </c>
      <c r="AH23" s="9">
        <f t="shared" si="11"/>
        <v>0.40138832176602912</v>
      </c>
      <c r="AI23" s="9">
        <f t="shared" si="12"/>
        <v>0.24827060020092159</v>
      </c>
      <c r="AJ23" s="14"/>
      <c r="AK23" s="9">
        <f t="shared" si="13"/>
        <v>0</v>
      </c>
      <c r="AL23" s="15">
        <f t="shared" si="14"/>
        <v>9.9652919558492689E-2</v>
      </c>
      <c r="AM23" s="16"/>
      <c r="AN23" s="14"/>
      <c r="AO23" s="14"/>
      <c r="AP23" s="14"/>
      <c r="AQ23" s="14"/>
      <c r="AR23" s="14"/>
      <c r="AS23" s="14"/>
      <c r="AT23" s="14"/>
      <c r="AU23" s="14"/>
      <c r="AV23" s="14"/>
      <c r="AW23" s="15">
        <f t="shared" si="15"/>
        <v>2.9078721927168167E-2</v>
      </c>
    </row>
    <row r="24" spans="1:49" s="13" customFormat="1" x14ac:dyDescent="0.25">
      <c r="A24" s="13" t="s">
        <v>160</v>
      </c>
      <c r="B24" s="13" t="s">
        <v>76</v>
      </c>
      <c r="C24" s="13" t="s">
        <v>131</v>
      </c>
      <c r="D24" s="13" t="s">
        <v>140</v>
      </c>
      <c r="E24" s="9">
        <v>7.89</v>
      </c>
      <c r="F24" s="14">
        <v>8</v>
      </c>
      <c r="G24" s="18" t="s">
        <v>39</v>
      </c>
      <c r="H24" s="14">
        <f t="shared" si="0"/>
        <v>1.088E-3</v>
      </c>
      <c r="I24" s="14">
        <v>21000</v>
      </c>
      <c r="J24" s="14">
        <v>1988</v>
      </c>
      <c r="K24" s="14">
        <f>(1009+999)*10</f>
        <v>20080</v>
      </c>
      <c r="L24" s="14">
        <v>2010</v>
      </c>
      <c r="M24" s="14"/>
      <c r="N24" s="14"/>
      <c r="O24" s="14">
        <v>1</v>
      </c>
      <c r="P24" s="10">
        <f t="shared" si="1"/>
        <v>20080</v>
      </c>
      <c r="Q24" s="14">
        <v>2</v>
      </c>
      <c r="R24" s="9">
        <f t="shared" si="2"/>
        <v>44.909874919721261</v>
      </c>
      <c r="S24" s="14">
        <v>1</v>
      </c>
      <c r="T24" s="9">
        <f t="shared" si="3"/>
        <v>1.3380321636239008</v>
      </c>
      <c r="U24" s="14">
        <v>0</v>
      </c>
      <c r="V24" s="9">
        <f t="shared" si="4"/>
        <v>1</v>
      </c>
      <c r="W24" s="14" t="s">
        <v>43</v>
      </c>
      <c r="X24" s="9">
        <f t="shared" si="5"/>
        <v>1</v>
      </c>
      <c r="Y24" s="14">
        <v>10</v>
      </c>
      <c r="Z24" s="9">
        <f t="shared" si="6"/>
        <v>1</v>
      </c>
      <c r="AA24" s="14">
        <v>3</v>
      </c>
      <c r="AB24" s="9">
        <f t="shared" si="7"/>
        <v>1</v>
      </c>
      <c r="AC24" s="14">
        <v>4</v>
      </c>
      <c r="AD24" s="9">
        <f t="shared" si="8"/>
        <v>1.364516290635889</v>
      </c>
      <c r="AE24" s="15">
        <f t="shared" si="9"/>
        <v>8.9210509343434496E-2</v>
      </c>
      <c r="AF24" s="10">
        <f t="shared" si="10"/>
        <v>7.1833657151054915</v>
      </c>
      <c r="AG24" s="14">
        <v>5</v>
      </c>
      <c r="AH24" s="9">
        <f t="shared" si="11"/>
        <v>0.58960437395384324</v>
      </c>
      <c r="AI24" s="9">
        <f t="shared" si="12"/>
        <v>8.9210509343434496E-2</v>
      </c>
      <c r="AJ24" s="14"/>
      <c r="AK24" s="9">
        <f t="shared" si="13"/>
        <v>0</v>
      </c>
      <c r="AL24" s="15">
        <f t="shared" si="14"/>
        <v>5.259890651153918E-2</v>
      </c>
      <c r="AM24" s="16"/>
      <c r="AN24" s="14"/>
      <c r="AO24" s="14"/>
      <c r="AP24" s="14"/>
      <c r="AQ24" s="14"/>
      <c r="AR24" s="14"/>
      <c r="AS24" s="14"/>
      <c r="AT24" s="14"/>
      <c r="AU24" s="14"/>
      <c r="AV24" s="14"/>
      <c r="AW24" s="15">
        <f t="shared" si="15"/>
        <v>2.4269135464424177E-2</v>
      </c>
    </row>
    <row r="25" spans="1:49" s="13" customFormat="1" x14ac:dyDescent="0.25">
      <c r="A25" s="13" t="s">
        <v>160</v>
      </c>
      <c r="B25" s="13" t="s">
        <v>76</v>
      </c>
      <c r="C25" s="13" t="s">
        <v>132</v>
      </c>
      <c r="D25" s="13" t="s">
        <v>145</v>
      </c>
      <c r="E25" s="9">
        <v>8.59</v>
      </c>
      <c r="F25" s="14">
        <v>7</v>
      </c>
      <c r="G25" s="18" t="s">
        <v>38</v>
      </c>
      <c r="H25" s="14">
        <f t="shared" si="0"/>
        <v>3.6459999999999999E-3</v>
      </c>
      <c r="I25" s="14">
        <v>12973</v>
      </c>
      <c r="J25" s="14">
        <v>1988</v>
      </c>
      <c r="K25" s="14">
        <f>(1440+983)*10</f>
        <v>24230</v>
      </c>
      <c r="L25" s="14">
        <v>2010</v>
      </c>
      <c r="M25" s="14"/>
      <c r="N25" s="14"/>
      <c r="O25" s="14">
        <v>1</v>
      </c>
      <c r="P25" s="10">
        <f t="shared" si="1"/>
        <v>24230</v>
      </c>
      <c r="Q25" s="14">
        <v>2</v>
      </c>
      <c r="R25" s="9">
        <f t="shared" si="2"/>
        <v>38.90452278427987</v>
      </c>
      <c r="S25" s="14">
        <v>1</v>
      </c>
      <c r="T25" s="9">
        <f t="shared" si="3"/>
        <v>1.1149393401731398</v>
      </c>
      <c r="U25" s="14">
        <v>0</v>
      </c>
      <c r="V25" s="9">
        <f t="shared" si="4"/>
        <v>1</v>
      </c>
      <c r="W25" s="14" t="s">
        <v>43</v>
      </c>
      <c r="X25" s="9">
        <f t="shared" si="5"/>
        <v>1</v>
      </c>
      <c r="Y25" s="14">
        <v>10</v>
      </c>
      <c r="Z25" s="9">
        <f t="shared" si="6"/>
        <v>1</v>
      </c>
      <c r="AA25" s="14">
        <v>4</v>
      </c>
      <c r="AB25" s="9">
        <f t="shared" si="7"/>
        <v>1</v>
      </c>
      <c r="AC25" s="14">
        <v>5</v>
      </c>
      <c r="AD25" s="9">
        <f t="shared" si="8"/>
        <v>1.7367229927213259</v>
      </c>
      <c r="AE25" s="15">
        <f t="shared" si="9"/>
        <v>0.27466198249433554</v>
      </c>
      <c r="AF25" s="10">
        <f t="shared" si="10"/>
        <v>3.080126574467176</v>
      </c>
      <c r="AG25" s="14">
        <v>5</v>
      </c>
      <c r="AH25" s="9">
        <f t="shared" si="11"/>
        <v>0.38119781244519518</v>
      </c>
      <c r="AI25" s="9">
        <f t="shared" si="12"/>
        <v>0.27466198249433554</v>
      </c>
      <c r="AJ25" s="14">
        <v>1</v>
      </c>
      <c r="AK25" s="9">
        <f t="shared" si="13"/>
        <v>0.2</v>
      </c>
      <c r="AL25" s="15">
        <f t="shared" si="14"/>
        <v>0.18094010937774024</v>
      </c>
      <c r="AM25" s="16"/>
      <c r="AN25" s="14"/>
      <c r="AO25" s="14"/>
      <c r="AP25" s="14"/>
      <c r="AQ25" s="14"/>
      <c r="AR25" s="14"/>
      <c r="AS25" s="14"/>
      <c r="AT25" s="14"/>
      <c r="AU25" s="14"/>
      <c r="AV25" s="14"/>
      <c r="AW25" s="15">
        <f t="shared" si="15"/>
        <v>5.2798323916424604E-2</v>
      </c>
    </row>
    <row r="26" spans="1:49" s="13" customFormat="1" x14ac:dyDescent="0.25">
      <c r="A26" s="13" t="s">
        <v>160</v>
      </c>
      <c r="B26" s="13" t="s">
        <v>76</v>
      </c>
      <c r="C26" s="13" t="s">
        <v>133</v>
      </c>
      <c r="D26" s="13" t="s">
        <v>146</v>
      </c>
      <c r="E26" s="9">
        <v>9.09</v>
      </c>
      <c r="F26" s="14">
        <v>8</v>
      </c>
      <c r="G26" s="18" t="s">
        <v>39</v>
      </c>
      <c r="H26" s="14">
        <f t="shared" si="0"/>
        <v>1.088E-3</v>
      </c>
      <c r="I26" s="14">
        <v>6500</v>
      </c>
      <c r="J26" s="14">
        <v>1988</v>
      </c>
      <c r="K26" s="14">
        <f>(774+539)*10</f>
        <v>13130</v>
      </c>
      <c r="L26" s="14">
        <v>2010</v>
      </c>
      <c r="M26" s="14"/>
      <c r="N26" s="14"/>
      <c r="O26" s="14">
        <v>1</v>
      </c>
      <c r="P26" s="10">
        <f t="shared" si="1"/>
        <v>13130</v>
      </c>
      <c r="Q26" s="14">
        <v>2</v>
      </c>
      <c r="R26" s="9">
        <f t="shared" si="2"/>
        <v>39.341627254382878</v>
      </c>
      <c r="S26" s="14">
        <v>1</v>
      </c>
      <c r="T26" s="9">
        <f t="shared" si="3"/>
        <v>1.3380321636239008</v>
      </c>
      <c r="U26" s="14">
        <v>0</v>
      </c>
      <c r="V26" s="9">
        <f t="shared" si="4"/>
        <v>1</v>
      </c>
      <c r="W26" s="14" t="s">
        <v>43</v>
      </c>
      <c r="X26" s="9">
        <f t="shared" si="5"/>
        <v>1</v>
      </c>
      <c r="Y26" s="14">
        <v>10</v>
      </c>
      <c r="Z26" s="9">
        <f t="shared" si="6"/>
        <v>1</v>
      </c>
      <c r="AA26" s="14">
        <v>5</v>
      </c>
      <c r="AB26" s="9">
        <f t="shared" si="7"/>
        <v>1</v>
      </c>
      <c r="AC26" s="14">
        <v>2</v>
      </c>
      <c r="AD26" s="9">
        <f t="shared" si="8"/>
        <v>1.1091567034898182</v>
      </c>
      <c r="AE26" s="15">
        <f t="shared" si="9"/>
        <v>6.3524415267535619E-2</v>
      </c>
      <c r="AF26" s="10">
        <f t="shared" si="10"/>
        <v>8.8086778306090796</v>
      </c>
      <c r="AG26" s="14">
        <v>5</v>
      </c>
      <c r="AH26" s="9">
        <f t="shared" si="11"/>
        <v>0.63790885258277785</v>
      </c>
      <c r="AI26" s="9">
        <f t="shared" si="12"/>
        <v>6.3524415267535619E-2</v>
      </c>
      <c r="AJ26" s="14"/>
      <c r="AK26" s="9">
        <f t="shared" si="13"/>
        <v>0</v>
      </c>
      <c r="AL26" s="15">
        <f t="shared" si="14"/>
        <v>4.0522786854305541E-2</v>
      </c>
      <c r="AM26" s="16"/>
      <c r="AN26" s="14"/>
      <c r="AO26" s="14"/>
      <c r="AP26" s="14"/>
      <c r="AQ26" s="14"/>
      <c r="AR26" s="14"/>
      <c r="AS26" s="14"/>
      <c r="AT26" s="14"/>
      <c r="AU26" s="14"/>
      <c r="AV26" s="14"/>
      <c r="AW26" s="15">
        <f t="shared" si="15"/>
        <v>1.8697213854576577E-2</v>
      </c>
    </row>
    <row r="27" spans="1:49" s="13" customFormat="1" x14ac:dyDescent="0.25">
      <c r="A27" s="13" t="s">
        <v>160</v>
      </c>
      <c r="B27" s="13" t="s">
        <v>76</v>
      </c>
      <c r="C27" s="33" t="s">
        <v>161</v>
      </c>
      <c r="D27" s="13" t="s">
        <v>141</v>
      </c>
      <c r="E27" s="9">
        <v>10.8</v>
      </c>
      <c r="F27" s="14">
        <v>7</v>
      </c>
      <c r="G27" s="18" t="s">
        <v>38</v>
      </c>
      <c r="H27" s="14">
        <f t="shared" si="0"/>
        <v>3.6459999999999999E-3</v>
      </c>
      <c r="I27" s="14">
        <v>18000</v>
      </c>
      <c r="J27" s="14">
        <v>1987</v>
      </c>
      <c r="K27" s="14">
        <f>(1041+880)*10</f>
        <v>19210</v>
      </c>
      <c r="L27" s="14">
        <v>2010</v>
      </c>
      <c r="M27" s="14"/>
      <c r="N27" s="14"/>
      <c r="O27" s="14">
        <v>1</v>
      </c>
      <c r="P27" s="10">
        <f t="shared" si="1"/>
        <v>19210</v>
      </c>
      <c r="Q27" s="14">
        <v>2</v>
      </c>
      <c r="R27" s="9">
        <f t="shared" si="2"/>
        <v>36.326729367171978</v>
      </c>
      <c r="S27" s="14">
        <v>1</v>
      </c>
      <c r="T27" s="9">
        <f t="shared" si="3"/>
        <v>1.1149393401731398</v>
      </c>
      <c r="U27" s="14">
        <v>0</v>
      </c>
      <c r="V27" s="9">
        <f t="shared" si="4"/>
        <v>1</v>
      </c>
      <c r="W27" s="14" t="s">
        <v>43</v>
      </c>
      <c r="X27" s="9">
        <f t="shared" si="5"/>
        <v>1</v>
      </c>
      <c r="Y27" s="14">
        <v>10</v>
      </c>
      <c r="Z27" s="9">
        <f t="shared" si="6"/>
        <v>1</v>
      </c>
      <c r="AA27" s="14">
        <v>3</v>
      </c>
      <c r="AB27" s="9">
        <f t="shared" si="7"/>
        <v>1</v>
      </c>
      <c r="AC27" s="14">
        <v>4</v>
      </c>
      <c r="AD27" s="9">
        <f t="shared" si="8"/>
        <v>1.5128571268843947</v>
      </c>
      <c r="AE27" s="15">
        <f t="shared" si="9"/>
        <v>0.2234046034558452</v>
      </c>
      <c r="AF27" s="10">
        <f t="shared" si="10"/>
        <v>3.6575828912899038</v>
      </c>
      <c r="AG27" s="14">
        <v>5</v>
      </c>
      <c r="AH27" s="9">
        <f t="shared" si="11"/>
        <v>0.42247159943102275</v>
      </c>
      <c r="AI27" s="9">
        <f t="shared" si="12"/>
        <v>0.2234046034558452</v>
      </c>
      <c r="AJ27" s="14"/>
      <c r="AK27" s="9">
        <f t="shared" si="13"/>
        <v>0</v>
      </c>
      <c r="AL27" s="15">
        <f t="shared" si="14"/>
        <v>9.438210014224431E-2</v>
      </c>
      <c r="AM27" s="16"/>
      <c r="AN27" s="14"/>
      <c r="AO27" s="14"/>
      <c r="AP27" s="14"/>
      <c r="AQ27" s="14"/>
      <c r="AR27" s="14"/>
      <c r="AS27" s="14"/>
      <c r="AT27" s="14"/>
      <c r="AU27" s="14"/>
      <c r="AV27" s="14"/>
      <c r="AW27" s="15">
        <f t="shared" si="15"/>
        <v>2.754069682150689E-2</v>
      </c>
    </row>
    <row r="28" spans="1:49" s="13" customFormat="1" x14ac:dyDescent="0.25">
      <c r="A28" s="13" t="s">
        <v>160</v>
      </c>
      <c r="B28" s="13" t="s">
        <v>76</v>
      </c>
      <c r="C28" s="13" t="s">
        <v>134</v>
      </c>
      <c r="D28" s="13" t="s">
        <v>142</v>
      </c>
      <c r="E28" s="9">
        <v>1.1599999999999999</v>
      </c>
      <c r="F28" s="14">
        <v>3</v>
      </c>
      <c r="G28" s="18" t="s">
        <v>37</v>
      </c>
      <c r="H28" s="14">
        <f t="shared" si="0"/>
        <v>2.2680000000000001E-3</v>
      </c>
      <c r="I28" s="14">
        <v>750</v>
      </c>
      <c r="J28" s="14">
        <v>1987</v>
      </c>
      <c r="K28" s="14">
        <f>(43+85)*10</f>
        <v>1280</v>
      </c>
      <c r="L28" s="14">
        <v>2010</v>
      </c>
      <c r="M28" s="14"/>
      <c r="N28" s="14"/>
      <c r="O28" s="14">
        <v>1</v>
      </c>
      <c r="P28" s="10">
        <f t="shared" si="1"/>
        <v>1280</v>
      </c>
      <c r="Q28" s="14">
        <v>2</v>
      </c>
      <c r="R28" s="9">
        <f t="shared" si="2"/>
        <v>23.407504494847146</v>
      </c>
      <c r="S28" s="14">
        <v>1</v>
      </c>
      <c r="T28" s="9">
        <f t="shared" si="3"/>
        <v>1.2329380751384142</v>
      </c>
      <c r="U28" s="14">
        <v>0</v>
      </c>
      <c r="V28" s="9">
        <f t="shared" si="4"/>
        <v>1</v>
      </c>
      <c r="W28" s="14" t="s">
        <v>43</v>
      </c>
      <c r="X28" s="9">
        <f t="shared" si="5"/>
        <v>1</v>
      </c>
      <c r="Y28" s="14">
        <v>10</v>
      </c>
      <c r="Z28" s="9">
        <f t="shared" si="6"/>
        <v>1.0800420763926004</v>
      </c>
      <c r="AA28" s="14">
        <v>5</v>
      </c>
      <c r="AB28" s="9">
        <f t="shared" si="7"/>
        <v>0.67032004603563933</v>
      </c>
      <c r="AC28" s="14">
        <v>2</v>
      </c>
      <c r="AD28" s="9">
        <f t="shared" si="8"/>
        <v>1</v>
      </c>
      <c r="AE28" s="15">
        <f t="shared" si="9"/>
        <v>4.7387337976722267E-2</v>
      </c>
      <c r="AF28" s="10">
        <f t="shared" si="10"/>
        <v>10.268275329992305</v>
      </c>
      <c r="AG28" s="14">
        <v>5</v>
      </c>
      <c r="AH28" s="9">
        <f t="shared" si="11"/>
        <v>0.67252358947325064</v>
      </c>
      <c r="AI28" s="9">
        <f t="shared" si="12"/>
        <v>4.7387337976722267E-2</v>
      </c>
      <c r="AJ28" s="14"/>
      <c r="AK28" s="9">
        <f t="shared" si="13"/>
        <v>0</v>
      </c>
      <c r="AL28" s="15">
        <f t="shared" si="14"/>
        <v>3.1869102631687345E-2</v>
      </c>
      <c r="AM28" s="16"/>
      <c r="AN28" s="14"/>
      <c r="AO28" s="14"/>
      <c r="AP28" s="14"/>
      <c r="AQ28" s="14"/>
      <c r="AR28" s="14"/>
      <c r="AS28" s="14"/>
      <c r="AT28" s="14"/>
      <c r="AU28" s="14"/>
      <c r="AV28" s="14"/>
      <c r="AW28" s="15">
        <f t="shared" si="15"/>
        <v>1.4701217043997373E-2</v>
      </c>
    </row>
    <row r="29" spans="1:49" s="13" customFormat="1" x14ac:dyDescent="0.25">
      <c r="A29" s="13" t="s">
        <v>160</v>
      </c>
      <c r="B29" s="13" t="s">
        <v>76</v>
      </c>
      <c r="C29" s="13" t="s">
        <v>135</v>
      </c>
      <c r="D29" s="13" t="s">
        <v>156</v>
      </c>
      <c r="E29" s="9">
        <v>3.05</v>
      </c>
      <c r="F29" s="14">
        <v>7</v>
      </c>
      <c r="G29" s="18" t="s">
        <v>38</v>
      </c>
      <c r="H29" s="14">
        <f t="shared" si="0"/>
        <v>3.6459999999999999E-3</v>
      </c>
      <c r="I29" s="14">
        <v>730</v>
      </c>
      <c r="J29" s="14">
        <v>1987</v>
      </c>
      <c r="K29" s="14">
        <f>(407+467)*10</f>
        <v>8740</v>
      </c>
      <c r="L29" s="14">
        <v>2010</v>
      </c>
      <c r="M29" s="14"/>
      <c r="N29" s="14"/>
      <c r="O29" s="14">
        <v>1</v>
      </c>
      <c r="P29" s="10">
        <f t="shared" si="1"/>
        <v>8740</v>
      </c>
      <c r="Q29" s="14">
        <v>2</v>
      </c>
      <c r="R29" s="9">
        <f t="shared" si="2"/>
        <v>28.78921303404702</v>
      </c>
      <c r="S29" s="14">
        <v>1</v>
      </c>
      <c r="T29" s="9">
        <f t="shared" si="3"/>
        <v>1.1149393401731398</v>
      </c>
      <c r="U29" s="14">
        <v>0</v>
      </c>
      <c r="V29" s="9">
        <f t="shared" si="4"/>
        <v>1</v>
      </c>
      <c r="W29" s="14" t="s">
        <v>43</v>
      </c>
      <c r="X29" s="9">
        <f t="shared" si="5"/>
        <v>1</v>
      </c>
      <c r="Y29" s="14">
        <v>10</v>
      </c>
      <c r="Z29" s="9">
        <f t="shared" si="6"/>
        <v>1</v>
      </c>
      <c r="AA29" s="14">
        <v>6</v>
      </c>
      <c r="AB29" s="9">
        <f t="shared" si="7"/>
        <v>1</v>
      </c>
      <c r="AC29" s="14">
        <v>3</v>
      </c>
      <c r="AD29" s="9">
        <f t="shared" si="8"/>
        <v>1.3178478640273033</v>
      </c>
      <c r="AE29" s="15">
        <f t="shared" si="9"/>
        <v>0.15422791036322483</v>
      </c>
      <c r="AF29" s="10">
        <f t="shared" si="10"/>
        <v>4.8964903877313981</v>
      </c>
      <c r="AG29" s="14">
        <v>5</v>
      </c>
      <c r="AH29" s="9">
        <f t="shared" si="11"/>
        <v>0.4947703878742245</v>
      </c>
      <c r="AI29" s="9">
        <f t="shared" si="12"/>
        <v>0.15422791036322483</v>
      </c>
      <c r="AJ29" s="14">
        <v>1</v>
      </c>
      <c r="AK29" s="9">
        <f t="shared" si="13"/>
        <v>0.2</v>
      </c>
      <c r="AL29" s="15">
        <f t="shared" si="14"/>
        <v>0.17526148060628879</v>
      </c>
      <c r="AM29" s="16"/>
      <c r="AN29" s="14"/>
      <c r="AO29" s="14"/>
      <c r="AP29" s="14"/>
      <c r="AQ29" s="14"/>
      <c r="AR29" s="14"/>
      <c r="AS29" s="14"/>
      <c r="AT29" s="14"/>
      <c r="AU29" s="14"/>
      <c r="AV29" s="14"/>
      <c r="AW29" s="15">
        <f t="shared" si="15"/>
        <v>5.1141300040915071E-2</v>
      </c>
    </row>
    <row r="30" spans="1:49" s="13" customFormat="1" x14ac:dyDescent="0.25">
      <c r="A30" s="13" t="s">
        <v>160</v>
      </c>
      <c r="B30" s="13" t="s">
        <v>76</v>
      </c>
      <c r="C30" s="13" t="s">
        <v>136</v>
      </c>
      <c r="D30" s="13" t="s">
        <v>143</v>
      </c>
      <c r="E30" s="9">
        <v>3.95</v>
      </c>
      <c r="F30" s="14">
        <v>7</v>
      </c>
      <c r="G30" s="18" t="s">
        <v>38</v>
      </c>
      <c r="H30" s="14">
        <f t="shared" si="0"/>
        <v>3.6459999999999999E-3</v>
      </c>
      <c r="I30" s="14">
        <v>8700</v>
      </c>
      <c r="J30" s="14">
        <v>1987</v>
      </c>
      <c r="K30" s="14">
        <f>(530+347)*10</f>
        <v>8770</v>
      </c>
      <c r="L30" s="14">
        <v>2010</v>
      </c>
      <c r="M30" s="14"/>
      <c r="N30" s="14"/>
      <c r="O30" s="14">
        <v>1</v>
      </c>
      <c r="P30" s="10">
        <f t="shared" si="1"/>
        <v>8770</v>
      </c>
      <c r="Q30" s="14">
        <v>2</v>
      </c>
      <c r="R30" s="9">
        <f t="shared" si="2"/>
        <v>28.81835867107802</v>
      </c>
      <c r="S30" s="14">
        <v>1</v>
      </c>
      <c r="T30" s="9">
        <f t="shared" si="3"/>
        <v>1.1149393401731398</v>
      </c>
      <c r="U30" s="14">
        <v>0</v>
      </c>
      <c r="V30" s="9">
        <f t="shared" si="4"/>
        <v>1</v>
      </c>
      <c r="W30" s="14" t="s">
        <v>43</v>
      </c>
      <c r="X30" s="9">
        <f t="shared" si="5"/>
        <v>1</v>
      </c>
      <c r="Y30" s="14">
        <v>10</v>
      </c>
      <c r="Z30" s="9">
        <f t="shared" si="6"/>
        <v>1</v>
      </c>
      <c r="AA30" s="14">
        <v>5</v>
      </c>
      <c r="AB30" s="9">
        <f t="shared" si="7"/>
        <v>1</v>
      </c>
      <c r="AC30" s="14">
        <v>3</v>
      </c>
      <c r="AD30" s="9">
        <f t="shared" si="8"/>
        <v>1.3178478640273033</v>
      </c>
      <c r="AE30" s="15">
        <f t="shared" si="9"/>
        <v>0.1543840476876519</v>
      </c>
      <c r="AF30" s="10">
        <f t="shared" si="10"/>
        <v>4.892749758671191</v>
      </c>
      <c r="AG30" s="14">
        <v>5</v>
      </c>
      <c r="AH30" s="9">
        <f t="shared" si="11"/>
        <v>0.49457935134592879</v>
      </c>
      <c r="AI30" s="9">
        <f t="shared" si="12"/>
        <v>0.1543840476876519</v>
      </c>
      <c r="AJ30" s="14"/>
      <c r="AK30" s="9">
        <f t="shared" si="13"/>
        <v>0</v>
      </c>
      <c r="AL30" s="15">
        <f t="shared" si="14"/>
        <v>7.6355162163517815E-2</v>
      </c>
      <c r="AM30" s="16"/>
      <c r="AN30" s="14"/>
      <c r="AO30" s="14"/>
      <c r="AP30" s="14"/>
      <c r="AQ30" s="14"/>
      <c r="AR30" s="14"/>
      <c r="AS30" s="14"/>
      <c r="AT30" s="14"/>
      <c r="AU30" s="14"/>
      <c r="AV30" s="14"/>
      <c r="AW30" s="15">
        <f t="shared" si="15"/>
        <v>2.2280436319314499E-2</v>
      </c>
    </row>
    <row r="31" spans="1:49" s="13" customFormat="1" x14ac:dyDescent="0.25">
      <c r="A31" s="13" t="s">
        <v>160</v>
      </c>
      <c r="B31" s="13" t="s">
        <v>76</v>
      </c>
      <c r="C31" s="13" t="s">
        <v>137</v>
      </c>
      <c r="D31" s="13" t="s">
        <v>147</v>
      </c>
      <c r="E31" s="9">
        <v>5.73</v>
      </c>
      <c r="F31" s="14">
        <v>7</v>
      </c>
      <c r="G31" s="18" t="s">
        <v>38</v>
      </c>
      <c r="H31" s="14">
        <f t="shared" si="0"/>
        <v>3.6459999999999999E-3</v>
      </c>
      <c r="I31" s="14">
        <v>9000</v>
      </c>
      <c r="J31" s="14">
        <v>1987</v>
      </c>
      <c r="K31" s="14">
        <f>(1343+580)*10</f>
        <v>19230</v>
      </c>
      <c r="L31" s="14">
        <v>2010</v>
      </c>
      <c r="M31" s="14"/>
      <c r="N31" s="14"/>
      <c r="O31" s="14">
        <v>1</v>
      </c>
      <c r="P31" s="10">
        <f t="shared" si="1"/>
        <v>19230</v>
      </c>
      <c r="Q31" s="14">
        <v>2</v>
      </c>
      <c r="R31" s="9">
        <f t="shared" si="2"/>
        <v>36.337893650887786</v>
      </c>
      <c r="S31" s="14">
        <v>1</v>
      </c>
      <c r="T31" s="9">
        <f t="shared" si="3"/>
        <v>1.1149393401731398</v>
      </c>
      <c r="U31" s="14">
        <v>0</v>
      </c>
      <c r="V31" s="9">
        <f t="shared" si="4"/>
        <v>1</v>
      </c>
      <c r="W31" s="14" t="s">
        <v>43</v>
      </c>
      <c r="X31" s="9">
        <f t="shared" si="5"/>
        <v>1</v>
      </c>
      <c r="Y31" s="14">
        <v>10</v>
      </c>
      <c r="Z31" s="9">
        <f t="shared" si="6"/>
        <v>1</v>
      </c>
      <c r="AA31" s="14">
        <v>6</v>
      </c>
      <c r="AB31" s="9">
        <f t="shared" si="7"/>
        <v>1</v>
      </c>
      <c r="AC31" s="14">
        <v>5</v>
      </c>
      <c r="AD31" s="9">
        <f t="shared" si="8"/>
        <v>1.7367229927213259</v>
      </c>
      <c r="AE31" s="15">
        <f t="shared" si="9"/>
        <v>0.2565418412959955</v>
      </c>
      <c r="AF31" s="10">
        <f t="shared" si="10"/>
        <v>3.2621974076106768</v>
      </c>
      <c r="AG31" s="14">
        <v>5</v>
      </c>
      <c r="AH31" s="9">
        <f t="shared" si="11"/>
        <v>0.39483411575299837</v>
      </c>
      <c r="AI31" s="9">
        <f t="shared" si="12"/>
        <v>0.2565418412959955</v>
      </c>
      <c r="AJ31" s="14"/>
      <c r="AK31" s="9">
        <f t="shared" si="13"/>
        <v>0</v>
      </c>
      <c r="AL31" s="15">
        <f t="shared" si="14"/>
        <v>0.10129147106175042</v>
      </c>
      <c r="AM31" s="16"/>
      <c r="AN31" s="14"/>
      <c r="AO31" s="14"/>
      <c r="AP31" s="14"/>
      <c r="AQ31" s="14"/>
      <c r="AR31" s="14"/>
      <c r="AS31" s="14"/>
      <c r="AT31" s="14"/>
      <c r="AU31" s="14"/>
      <c r="AV31" s="14"/>
      <c r="AW31" s="15">
        <f t="shared" si="15"/>
        <v>2.9556851255818771E-2</v>
      </c>
    </row>
    <row r="32" spans="1:49" s="13" customFormat="1" x14ac:dyDescent="0.25">
      <c r="A32" s="13" t="s">
        <v>160</v>
      </c>
      <c r="B32" s="13" t="s">
        <v>76</v>
      </c>
      <c r="C32" s="13" t="s">
        <v>138</v>
      </c>
      <c r="D32" s="13" t="s">
        <v>144</v>
      </c>
      <c r="E32" s="9">
        <v>7.59</v>
      </c>
      <c r="F32" s="14">
        <v>8</v>
      </c>
      <c r="G32" s="18" t="s">
        <v>39</v>
      </c>
      <c r="H32" s="14">
        <f t="shared" si="0"/>
        <v>1.088E-3</v>
      </c>
      <c r="I32" s="14">
        <v>6970</v>
      </c>
      <c r="J32" s="14">
        <v>1987</v>
      </c>
      <c r="K32" s="14">
        <f>(670+795)*10</f>
        <v>14650</v>
      </c>
      <c r="L32" s="14">
        <v>2010</v>
      </c>
      <c r="M32" s="14"/>
      <c r="N32" s="14"/>
      <c r="O32" s="14">
        <v>1</v>
      </c>
      <c r="P32" s="10">
        <f t="shared" si="1"/>
        <v>14650</v>
      </c>
      <c r="Q32" s="14">
        <v>2</v>
      </c>
      <c r="R32" s="9">
        <f t="shared" si="2"/>
        <v>40.707640226874283</v>
      </c>
      <c r="S32" s="14">
        <v>1</v>
      </c>
      <c r="T32" s="9">
        <f t="shared" si="3"/>
        <v>1.3380321636239008</v>
      </c>
      <c r="U32" s="14">
        <v>0</v>
      </c>
      <c r="V32" s="9">
        <f t="shared" si="4"/>
        <v>1</v>
      </c>
      <c r="W32" s="14" t="s">
        <v>43</v>
      </c>
      <c r="X32" s="9">
        <f t="shared" si="5"/>
        <v>1</v>
      </c>
      <c r="Y32" s="14">
        <v>10</v>
      </c>
      <c r="Z32" s="9">
        <f t="shared" si="6"/>
        <v>1</v>
      </c>
      <c r="AA32" s="14">
        <v>4</v>
      </c>
      <c r="AB32" s="9">
        <f t="shared" si="7"/>
        <v>1</v>
      </c>
      <c r="AC32" s="14">
        <v>3</v>
      </c>
      <c r="AD32" s="9">
        <f t="shared" si="8"/>
        <v>1.2302285928964003</v>
      </c>
      <c r="AE32" s="15">
        <f t="shared" si="9"/>
        <v>7.2904979590887736E-2</v>
      </c>
      <c r="AF32" s="10">
        <f t="shared" si="10"/>
        <v>8.1363668366301134</v>
      </c>
      <c r="AG32" s="14">
        <v>5</v>
      </c>
      <c r="AH32" s="9">
        <f t="shared" si="11"/>
        <v>0.61937725535665267</v>
      </c>
      <c r="AI32" s="9">
        <f t="shared" si="12"/>
        <v>7.2904979590887736E-2</v>
      </c>
      <c r="AJ32" s="14"/>
      <c r="AK32" s="9">
        <f t="shared" si="13"/>
        <v>0</v>
      </c>
      <c r="AL32" s="15">
        <f t="shared" si="14"/>
        <v>4.5155686160836823E-2</v>
      </c>
      <c r="AM32" s="16"/>
      <c r="AN32" s="14"/>
      <c r="AO32" s="14"/>
      <c r="AP32" s="14"/>
      <c r="AQ32" s="14"/>
      <c r="AR32" s="14"/>
      <c r="AS32" s="14"/>
      <c r="AT32" s="14"/>
      <c r="AU32" s="14"/>
      <c r="AV32" s="14"/>
      <c r="AW32" s="15">
        <f t="shared" si="15"/>
        <v>2.0834833594610108E-2</v>
      </c>
    </row>
    <row r="33" spans="1:49" s="13" customFormat="1" x14ac:dyDescent="0.25">
      <c r="A33" s="13" t="s">
        <v>65</v>
      </c>
      <c r="B33" s="13" t="s">
        <v>75</v>
      </c>
      <c r="C33" s="13" t="s">
        <v>86</v>
      </c>
      <c r="D33" s="13" t="s">
        <v>93</v>
      </c>
      <c r="E33" s="9">
        <v>39.64</v>
      </c>
      <c r="F33" s="14">
        <v>8</v>
      </c>
      <c r="G33" s="18" t="s">
        <v>39</v>
      </c>
      <c r="H33" s="14">
        <f t="shared" si="0"/>
        <v>1.088E-3</v>
      </c>
      <c r="I33" s="14">
        <v>5620</v>
      </c>
      <c r="J33" s="14">
        <v>1993</v>
      </c>
      <c r="K33" s="14"/>
      <c r="L33" s="14"/>
      <c r="M33" s="14"/>
      <c r="N33" s="14"/>
      <c r="O33" s="14">
        <v>1</v>
      </c>
      <c r="P33" s="10">
        <v>5620</v>
      </c>
      <c r="Q33" s="14">
        <v>49</v>
      </c>
      <c r="R33" s="9">
        <f t="shared" si="2"/>
        <v>81.82425995576547</v>
      </c>
      <c r="S33" s="14">
        <v>2</v>
      </c>
      <c r="T33" s="9">
        <f t="shared" si="3"/>
        <v>1.7903300708920569</v>
      </c>
      <c r="U33" s="14">
        <v>36</v>
      </c>
      <c r="V33" s="9">
        <f t="shared" si="4"/>
        <v>1</v>
      </c>
      <c r="W33" s="14" t="s">
        <v>43</v>
      </c>
      <c r="X33" s="9">
        <f t="shared" si="5"/>
        <v>1</v>
      </c>
      <c r="Y33" s="14">
        <v>30</v>
      </c>
      <c r="Z33" s="9">
        <f t="shared" si="6"/>
        <v>1</v>
      </c>
      <c r="AA33" s="14">
        <v>4</v>
      </c>
      <c r="AB33" s="9">
        <f t="shared" si="7"/>
        <v>1</v>
      </c>
      <c r="AC33" s="14">
        <v>5</v>
      </c>
      <c r="AD33" s="9">
        <f t="shared" si="8"/>
        <v>1.5134623907798572</v>
      </c>
      <c r="AE33" s="15">
        <f t="shared" si="9"/>
        <v>0.24122133742233084</v>
      </c>
      <c r="AF33" s="10">
        <f t="shared" si="10"/>
        <v>3.4338143243597368</v>
      </c>
      <c r="AG33" s="10">
        <v>5</v>
      </c>
      <c r="AH33" s="9">
        <f t="shared" si="11"/>
        <v>0.40714843750374108</v>
      </c>
      <c r="AI33" s="9">
        <f t="shared" si="12"/>
        <v>0.24122133742233084</v>
      </c>
      <c r="AJ33" s="10"/>
      <c r="AK33" s="9">
        <f t="shared" si="13"/>
        <v>0</v>
      </c>
      <c r="AL33" s="15">
        <f t="shared" si="14"/>
        <v>9.8212890624064714E-2</v>
      </c>
      <c r="AW33" s="15">
        <f t="shared" si="15"/>
        <v>4.531542773394346E-2</v>
      </c>
    </row>
    <row r="34" spans="1:49" s="13" customFormat="1" x14ac:dyDescent="0.25">
      <c r="A34" s="13" t="s">
        <v>65</v>
      </c>
      <c r="B34" s="13" t="s">
        <v>75</v>
      </c>
      <c r="C34" s="13" t="s">
        <v>87</v>
      </c>
      <c r="D34" s="13" t="s">
        <v>94</v>
      </c>
      <c r="E34" s="9">
        <v>2.69</v>
      </c>
      <c r="F34" s="14">
        <v>8</v>
      </c>
      <c r="G34" s="18" t="s">
        <v>39</v>
      </c>
      <c r="H34" s="14">
        <f t="shared" si="0"/>
        <v>1.088E-3</v>
      </c>
      <c r="I34" s="14">
        <v>4240</v>
      </c>
      <c r="J34" s="14">
        <v>1993</v>
      </c>
      <c r="K34" s="14"/>
      <c r="L34" s="14"/>
      <c r="M34" s="14"/>
      <c r="N34" s="14"/>
      <c r="O34" s="14">
        <v>1</v>
      </c>
      <c r="P34" s="10">
        <v>4240</v>
      </c>
      <c r="Q34" s="14">
        <v>49</v>
      </c>
      <c r="R34" s="9">
        <f t="shared" si="2"/>
        <v>74.946521909459136</v>
      </c>
      <c r="S34" s="14">
        <v>2</v>
      </c>
      <c r="T34" s="9">
        <f t="shared" si="3"/>
        <v>1.7903300708920569</v>
      </c>
      <c r="U34" s="14">
        <v>36</v>
      </c>
      <c r="V34" s="9">
        <f t="shared" si="4"/>
        <v>1</v>
      </c>
      <c r="W34" s="14" t="s">
        <v>43</v>
      </c>
      <c r="X34" s="9">
        <f t="shared" si="5"/>
        <v>1</v>
      </c>
      <c r="Y34" s="14">
        <v>57</v>
      </c>
      <c r="Z34" s="9">
        <f t="shared" si="6"/>
        <v>1</v>
      </c>
      <c r="AA34" s="14">
        <v>6</v>
      </c>
      <c r="AB34" s="9">
        <f t="shared" si="7"/>
        <v>1</v>
      </c>
      <c r="AC34" s="14">
        <v>2</v>
      </c>
      <c r="AD34" s="9">
        <f t="shared" si="8"/>
        <v>1.1091567034898182</v>
      </c>
      <c r="AE34" s="15">
        <f t="shared" si="9"/>
        <v>0.1619221989417963</v>
      </c>
      <c r="AF34" s="10">
        <f t="shared" si="10"/>
        <v>4.7187128342068894</v>
      </c>
      <c r="AG34" s="10">
        <v>5</v>
      </c>
      <c r="AH34" s="9">
        <f t="shared" si="11"/>
        <v>0.48552857921662901</v>
      </c>
      <c r="AI34" s="9">
        <f t="shared" si="12"/>
        <v>0.1619221989417963</v>
      </c>
      <c r="AJ34" s="10"/>
      <c r="AK34" s="9">
        <f t="shared" si="13"/>
        <v>0</v>
      </c>
      <c r="AL34" s="15">
        <f t="shared" si="14"/>
        <v>7.8617855195842704E-2</v>
      </c>
      <c r="AW34" s="15">
        <f t="shared" si="15"/>
        <v>3.6274278387361823E-2</v>
      </c>
    </row>
    <row r="35" spans="1:49" s="13" customFormat="1" x14ac:dyDescent="0.25">
      <c r="A35" s="13" t="s">
        <v>65</v>
      </c>
      <c r="B35" s="13" t="s">
        <v>75</v>
      </c>
      <c r="C35" s="13" t="s">
        <v>88</v>
      </c>
      <c r="D35" s="13" t="s">
        <v>95</v>
      </c>
      <c r="E35" s="9">
        <v>9.75</v>
      </c>
      <c r="F35" s="14">
        <v>8</v>
      </c>
      <c r="G35" s="18" t="s">
        <v>39</v>
      </c>
      <c r="H35" s="14">
        <f t="shared" si="0"/>
        <v>1.088E-3</v>
      </c>
      <c r="I35" s="14">
        <v>1921</v>
      </c>
      <c r="J35" s="14">
        <v>1993</v>
      </c>
      <c r="K35" s="14"/>
      <c r="L35" s="14"/>
      <c r="M35" s="14"/>
      <c r="N35" s="14"/>
      <c r="O35" s="14">
        <v>1</v>
      </c>
      <c r="P35" s="10">
        <v>1921</v>
      </c>
      <c r="Q35" s="14">
        <v>49</v>
      </c>
      <c r="R35" s="9">
        <f t="shared" si="2"/>
        <v>58.56141559623471</v>
      </c>
      <c r="S35" s="14">
        <v>2</v>
      </c>
      <c r="T35" s="9">
        <f t="shared" si="3"/>
        <v>1.7903300708920569</v>
      </c>
      <c r="U35" s="14">
        <v>27</v>
      </c>
      <c r="V35" s="9">
        <f t="shared" si="4"/>
        <v>1</v>
      </c>
      <c r="W35" s="14" t="s">
        <v>43</v>
      </c>
      <c r="X35" s="9">
        <f t="shared" si="5"/>
        <v>1</v>
      </c>
      <c r="Y35" s="14">
        <v>52</v>
      </c>
      <c r="Z35" s="9">
        <f t="shared" si="6"/>
        <v>1</v>
      </c>
      <c r="AA35" s="14">
        <v>6</v>
      </c>
      <c r="AB35" s="9">
        <f t="shared" si="7"/>
        <v>1</v>
      </c>
      <c r="AC35" s="14">
        <v>2</v>
      </c>
      <c r="AD35" s="9">
        <f t="shared" si="8"/>
        <v>1.1091567034898182</v>
      </c>
      <c r="AE35" s="15">
        <f t="shared" si="9"/>
        <v>0.1265221246416498</v>
      </c>
      <c r="AF35" s="10">
        <f t="shared" si="10"/>
        <v>5.6650122585486571</v>
      </c>
      <c r="AG35" s="10">
        <v>5</v>
      </c>
      <c r="AH35" s="9">
        <f t="shared" si="11"/>
        <v>0.53117728524013696</v>
      </c>
      <c r="AI35" s="9">
        <f t="shared" si="12"/>
        <v>0.1265221246416498</v>
      </c>
      <c r="AJ35" s="10"/>
      <c r="AK35" s="9">
        <f t="shared" si="13"/>
        <v>0</v>
      </c>
      <c r="AL35" s="15">
        <f t="shared" si="14"/>
        <v>6.7205678689965784E-2</v>
      </c>
      <c r="AW35" s="15">
        <f t="shared" si="15"/>
        <v>3.1008700147550212E-2</v>
      </c>
    </row>
    <row r="36" spans="1:49" s="13" customFormat="1" x14ac:dyDescent="0.25">
      <c r="A36" s="13" t="s">
        <v>65</v>
      </c>
      <c r="B36" s="13" t="s">
        <v>75</v>
      </c>
      <c r="C36" s="13" t="s">
        <v>89</v>
      </c>
      <c r="D36" s="13" t="s">
        <v>96</v>
      </c>
      <c r="E36" s="9">
        <v>10.06</v>
      </c>
      <c r="F36" s="14">
        <v>8</v>
      </c>
      <c r="G36" s="18" t="s">
        <v>39</v>
      </c>
      <c r="H36" s="14">
        <f t="shared" si="0"/>
        <v>1.088E-3</v>
      </c>
      <c r="I36" s="14">
        <v>7094</v>
      </c>
      <c r="J36" s="14">
        <v>1993</v>
      </c>
      <c r="K36" s="14"/>
      <c r="L36" s="14"/>
      <c r="M36" s="14"/>
      <c r="N36" s="14"/>
      <c r="O36" s="14">
        <v>1</v>
      </c>
      <c r="P36" s="10">
        <v>7094</v>
      </c>
      <c r="Q36" s="14">
        <v>49</v>
      </c>
      <c r="R36" s="9">
        <f t="shared" si="2"/>
        <v>87.983639468139458</v>
      </c>
      <c r="S36" s="14">
        <v>2</v>
      </c>
      <c r="T36" s="9">
        <f t="shared" si="3"/>
        <v>1.7903300708920569</v>
      </c>
      <c r="U36" s="14">
        <v>27</v>
      </c>
      <c r="V36" s="9">
        <f t="shared" si="4"/>
        <v>1</v>
      </c>
      <c r="W36" s="14" t="s">
        <v>43</v>
      </c>
      <c r="X36" s="9">
        <f t="shared" si="5"/>
        <v>1</v>
      </c>
      <c r="Y36" s="14">
        <v>67</v>
      </c>
      <c r="Z36" s="9">
        <f t="shared" si="6"/>
        <v>1</v>
      </c>
      <c r="AA36" s="14">
        <v>5</v>
      </c>
      <c r="AB36" s="9">
        <f t="shared" si="7"/>
        <v>1</v>
      </c>
      <c r="AC36" s="14">
        <v>2</v>
      </c>
      <c r="AD36" s="9">
        <f t="shared" si="8"/>
        <v>1.1091567034898182</v>
      </c>
      <c r="AE36" s="15">
        <f t="shared" si="9"/>
        <v>0.19008893288996348</v>
      </c>
      <c r="AF36" s="10">
        <f t="shared" si="10"/>
        <v>4.1651232647958647</v>
      </c>
      <c r="AG36" s="14">
        <v>5</v>
      </c>
      <c r="AH36" s="9">
        <f t="shared" si="11"/>
        <v>0.45445360029084503</v>
      </c>
      <c r="AI36" s="9">
        <f t="shared" si="12"/>
        <v>0.19008893288996348</v>
      </c>
      <c r="AJ36" s="14"/>
      <c r="AK36" s="9">
        <f t="shared" si="13"/>
        <v>0</v>
      </c>
      <c r="AL36" s="15">
        <f t="shared" si="14"/>
        <v>8.6386599927288726E-2</v>
      </c>
      <c r="AM36" s="16"/>
      <c r="AN36" s="14"/>
      <c r="AO36" s="14"/>
      <c r="AP36" s="14"/>
      <c r="AQ36" s="14"/>
      <c r="AR36" s="14"/>
      <c r="AS36" s="14"/>
      <c r="AT36" s="14"/>
      <c r="AU36" s="14"/>
      <c r="AV36" s="14"/>
      <c r="AW36" s="15">
        <f t="shared" si="15"/>
        <v>3.9858777206451014E-2</v>
      </c>
    </row>
    <row r="37" spans="1:49" s="13" customFormat="1" x14ac:dyDescent="0.25">
      <c r="A37" s="13" t="s">
        <v>65</v>
      </c>
      <c r="B37" s="13" t="s">
        <v>75</v>
      </c>
      <c r="C37" s="13" t="s">
        <v>90</v>
      </c>
      <c r="D37" s="13" t="s">
        <v>97</v>
      </c>
      <c r="E37" s="9">
        <v>14.94</v>
      </c>
      <c r="F37" s="14">
        <v>7</v>
      </c>
      <c r="G37" s="18" t="s">
        <v>38</v>
      </c>
      <c r="H37" s="14">
        <f t="shared" si="0"/>
        <v>3.6459999999999999E-3</v>
      </c>
      <c r="I37" s="6">
        <v>200</v>
      </c>
      <c r="J37" s="6" t="s">
        <v>167</v>
      </c>
      <c r="K37" s="14"/>
      <c r="L37" s="14"/>
      <c r="M37" s="14"/>
      <c r="N37" s="14"/>
      <c r="O37" s="14">
        <v>1</v>
      </c>
      <c r="P37" s="10">
        <v>200</v>
      </c>
      <c r="Q37" s="14">
        <v>49</v>
      </c>
      <c r="R37" s="9">
        <f t="shared" si="2"/>
        <v>24.267079879346671</v>
      </c>
      <c r="S37" s="14">
        <v>2</v>
      </c>
      <c r="T37" s="9">
        <f t="shared" si="3"/>
        <v>1.2430897322657162</v>
      </c>
      <c r="U37" s="14">
        <v>27</v>
      </c>
      <c r="V37" s="9">
        <f t="shared" si="4"/>
        <v>1.2597266835673095</v>
      </c>
      <c r="W37" s="14" t="s">
        <v>43</v>
      </c>
      <c r="X37" s="9">
        <f t="shared" si="5"/>
        <v>1</v>
      </c>
      <c r="Y37" s="14">
        <v>50</v>
      </c>
      <c r="Z37" s="9">
        <f t="shared" si="6"/>
        <v>1</v>
      </c>
      <c r="AA37" s="6">
        <v>6</v>
      </c>
      <c r="AB37" s="9">
        <f t="shared" si="7"/>
        <v>1</v>
      </c>
      <c r="AC37" s="6">
        <v>1</v>
      </c>
      <c r="AD37" s="9">
        <f t="shared" si="8"/>
        <v>1</v>
      </c>
      <c r="AE37" s="15">
        <f t="shared" si="9"/>
        <v>0.1385520614954785</v>
      </c>
      <c r="AF37" s="10">
        <f t="shared" si="10"/>
        <v>5.3035750024084471</v>
      </c>
      <c r="AG37" s="14">
        <v>5</v>
      </c>
      <c r="AH37" s="9">
        <f t="shared" si="11"/>
        <v>0.5147315374681839</v>
      </c>
      <c r="AI37" s="9">
        <f t="shared" si="12"/>
        <v>0.1385520614954785</v>
      </c>
      <c r="AJ37" s="14">
        <v>1</v>
      </c>
      <c r="AK37" s="9">
        <f t="shared" si="13"/>
        <v>0.2</v>
      </c>
      <c r="AL37" s="15">
        <f t="shared" si="14"/>
        <v>0.17426342312659079</v>
      </c>
      <c r="AM37" s="16"/>
      <c r="AN37" s="14"/>
      <c r="AO37" s="14"/>
      <c r="AP37" s="14"/>
      <c r="AQ37" s="14"/>
      <c r="AR37" s="14"/>
      <c r="AS37" s="14"/>
      <c r="AT37" s="14"/>
      <c r="AU37" s="14"/>
      <c r="AV37" s="14"/>
      <c r="AW37" s="15">
        <f t="shared" si="15"/>
        <v>5.0850066868339192E-2</v>
      </c>
    </row>
    <row r="38" spans="1:49" s="13" customFormat="1" x14ac:dyDescent="0.25">
      <c r="A38" s="13" t="s">
        <v>65</v>
      </c>
      <c r="B38" s="13" t="s">
        <v>75</v>
      </c>
      <c r="C38" s="13" t="s">
        <v>91</v>
      </c>
      <c r="D38" s="13" t="s">
        <v>98</v>
      </c>
      <c r="E38" s="9">
        <v>15.72</v>
      </c>
      <c r="F38" s="14">
        <v>8</v>
      </c>
      <c r="G38" s="18" t="s">
        <v>39</v>
      </c>
      <c r="H38" s="14">
        <f t="shared" si="0"/>
        <v>1.088E-3</v>
      </c>
      <c r="I38" s="14">
        <v>14498</v>
      </c>
      <c r="J38" s="14">
        <v>2008</v>
      </c>
      <c r="K38" s="14"/>
      <c r="L38" s="14"/>
      <c r="M38" s="14"/>
      <c r="N38" s="14"/>
      <c r="O38" s="14">
        <v>1</v>
      </c>
      <c r="P38" s="10">
        <v>14498</v>
      </c>
      <c r="Q38" s="14">
        <v>49</v>
      </c>
      <c r="R38" s="9">
        <f t="shared" si="2"/>
        <v>109.93292729429926</v>
      </c>
      <c r="S38" s="14">
        <v>2</v>
      </c>
      <c r="T38" s="9">
        <f t="shared" si="3"/>
        <v>1.7903300708920569</v>
      </c>
      <c r="U38" s="14">
        <v>27</v>
      </c>
      <c r="V38" s="9">
        <f t="shared" si="4"/>
        <v>1</v>
      </c>
      <c r="W38" s="14" t="s">
        <v>43</v>
      </c>
      <c r="X38" s="9">
        <f t="shared" si="5"/>
        <v>1</v>
      </c>
      <c r="Y38" s="14">
        <v>50</v>
      </c>
      <c r="Z38" s="9">
        <f t="shared" si="6"/>
        <v>1</v>
      </c>
      <c r="AA38" s="14">
        <v>4</v>
      </c>
      <c r="AB38" s="9">
        <f t="shared" si="7"/>
        <v>1</v>
      </c>
      <c r="AC38" s="14">
        <v>1</v>
      </c>
      <c r="AD38" s="9">
        <f t="shared" si="8"/>
        <v>1</v>
      </c>
      <c r="AE38" s="15">
        <f t="shared" si="9"/>
        <v>0.21413605336159744</v>
      </c>
      <c r="AF38" s="10">
        <f t="shared" si="10"/>
        <v>3.785927696250607</v>
      </c>
      <c r="AG38" s="14">
        <v>5</v>
      </c>
      <c r="AH38" s="9">
        <f t="shared" si="11"/>
        <v>0.43090813254316346</v>
      </c>
      <c r="AI38" s="9">
        <f t="shared" si="12"/>
        <v>0.21413605336159744</v>
      </c>
      <c r="AJ38" s="14">
        <v>1</v>
      </c>
      <c r="AK38" s="9">
        <f t="shared" si="13"/>
        <v>0.2</v>
      </c>
      <c r="AL38" s="15">
        <f t="shared" si="14"/>
        <v>0.17845459337284186</v>
      </c>
      <c r="AM38" s="16"/>
      <c r="AN38" s="14"/>
      <c r="AO38" s="14"/>
      <c r="AP38" s="14"/>
      <c r="AQ38" s="14"/>
      <c r="AR38" s="14"/>
      <c r="AS38" s="14"/>
      <c r="AT38" s="14"/>
      <c r="AU38" s="14"/>
      <c r="AV38" s="14"/>
      <c r="AW38" s="15">
        <f t="shared" si="15"/>
        <v>8.2338949382229229E-2</v>
      </c>
    </row>
    <row r="39" spans="1:49" s="13" customFormat="1" x14ac:dyDescent="0.25">
      <c r="A39" s="13" t="s">
        <v>65</v>
      </c>
      <c r="B39" s="13" t="s">
        <v>75</v>
      </c>
      <c r="C39" s="13" t="s">
        <v>92</v>
      </c>
      <c r="D39" s="13" t="s">
        <v>99</v>
      </c>
      <c r="E39" s="9">
        <v>18.579999999999998</v>
      </c>
      <c r="F39" s="14">
        <v>8</v>
      </c>
      <c r="G39" s="18" t="s">
        <v>39</v>
      </c>
      <c r="H39" s="14">
        <f t="shared" si="0"/>
        <v>1.088E-3</v>
      </c>
      <c r="I39" s="14">
        <v>10</v>
      </c>
      <c r="J39" s="14">
        <v>1986</v>
      </c>
      <c r="K39" s="14"/>
      <c r="L39" s="14"/>
      <c r="M39" s="14"/>
      <c r="N39" s="14"/>
      <c r="O39" s="14">
        <v>1</v>
      </c>
      <c r="P39" s="10">
        <v>10</v>
      </c>
      <c r="Q39" s="14">
        <v>49</v>
      </c>
      <c r="R39" s="9">
        <f t="shared" si="2"/>
        <v>11.379400317217467</v>
      </c>
      <c r="S39" s="14">
        <v>2</v>
      </c>
      <c r="T39" s="9">
        <f t="shared" si="3"/>
        <v>1.7903300708920569</v>
      </c>
      <c r="U39" s="14">
        <v>27</v>
      </c>
      <c r="V39" s="9">
        <f t="shared" si="4"/>
        <v>1</v>
      </c>
      <c r="W39" s="14" t="s">
        <v>119</v>
      </c>
      <c r="X39" s="9">
        <f t="shared" si="5"/>
        <v>1</v>
      </c>
      <c r="Y39" s="14">
        <v>67</v>
      </c>
      <c r="Z39" s="9">
        <f t="shared" si="6"/>
        <v>1</v>
      </c>
      <c r="AA39" s="14">
        <v>6</v>
      </c>
      <c r="AB39" s="9">
        <f t="shared" si="7"/>
        <v>1</v>
      </c>
      <c r="AC39" s="14">
        <v>2</v>
      </c>
      <c r="AD39" s="9">
        <f t="shared" si="8"/>
        <v>1.1091567034898182</v>
      </c>
      <c r="AE39" s="15">
        <f t="shared" si="9"/>
        <v>2.4585230575860404E-2</v>
      </c>
      <c r="AF39" s="10">
        <f t="shared" si="10"/>
        <v>13.407480171062865</v>
      </c>
      <c r="AG39" s="14">
        <v>5</v>
      </c>
      <c r="AH39" s="9">
        <f t="shared" si="11"/>
        <v>0.72837129506404918</v>
      </c>
      <c r="AI39" s="9">
        <f t="shared" si="12"/>
        <v>2.4585230575860404E-2</v>
      </c>
      <c r="AJ39" s="14"/>
      <c r="AK39" s="9">
        <f t="shared" si="13"/>
        <v>0</v>
      </c>
      <c r="AL39" s="15">
        <f t="shared" si="14"/>
        <v>1.7907176233987701E-2</v>
      </c>
      <c r="AM39" s="16"/>
      <c r="AN39" s="14"/>
      <c r="AO39" s="14"/>
      <c r="AP39" s="14"/>
      <c r="AQ39" s="14"/>
      <c r="AR39" s="14"/>
      <c r="AS39" s="14"/>
      <c r="AT39" s="14"/>
      <c r="AU39" s="14"/>
      <c r="AV39" s="14"/>
      <c r="AW39" s="15">
        <f t="shared" si="15"/>
        <v>8.2623711143619254E-3</v>
      </c>
    </row>
    <row r="40" spans="1:49" s="13" customFormat="1" x14ac:dyDescent="0.25">
      <c r="A40" s="13" t="s">
        <v>65</v>
      </c>
      <c r="B40" s="13" t="s">
        <v>76</v>
      </c>
      <c r="C40" s="13" t="s">
        <v>120</v>
      </c>
      <c r="D40" s="13" t="s">
        <v>159</v>
      </c>
      <c r="E40" s="9">
        <v>2</v>
      </c>
      <c r="F40" s="31">
        <v>8</v>
      </c>
      <c r="G40" s="32" t="s">
        <v>39</v>
      </c>
      <c r="H40" s="14">
        <f t="shared" si="0"/>
        <v>1.088E-3</v>
      </c>
      <c r="I40" s="14">
        <v>4260</v>
      </c>
      <c r="J40" s="14">
        <v>1988</v>
      </c>
      <c r="K40" s="14">
        <f>(202+321)*10</f>
        <v>5230</v>
      </c>
      <c r="L40" s="14">
        <v>2010</v>
      </c>
      <c r="M40" s="14">
        <v>3171</v>
      </c>
      <c r="N40" s="14">
        <v>2006</v>
      </c>
      <c r="O40" s="14">
        <v>1</v>
      </c>
      <c r="P40" s="10">
        <f t="shared" ref="P40:P60" si="16">K40*O40</f>
        <v>5230</v>
      </c>
      <c r="Q40" s="14">
        <f>2+10</f>
        <v>12</v>
      </c>
      <c r="R40" s="9">
        <f t="shared" si="2"/>
        <v>51.612807949137625</v>
      </c>
      <c r="S40" s="14">
        <v>2</v>
      </c>
      <c r="T40" s="9">
        <f t="shared" si="3"/>
        <v>1.7903300708920569</v>
      </c>
      <c r="U40" s="14">
        <f t="shared" ref="U40:U60" si="17">(U12-Q12)+Q40</f>
        <v>10</v>
      </c>
      <c r="V40" s="9">
        <f t="shared" si="4"/>
        <v>1</v>
      </c>
      <c r="W40" s="14" t="s">
        <v>43</v>
      </c>
      <c r="X40" s="9">
        <f t="shared" si="5"/>
        <v>1</v>
      </c>
      <c r="Y40" s="14">
        <v>10</v>
      </c>
      <c r="Z40" s="9">
        <f t="shared" si="6"/>
        <v>1</v>
      </c>
      <c r="AA40" s="14">
        <v>6</v>
      </c>
      <c r="AB40" s="9">
        <f t="shared" si="7"/>
        <v>1</v>
      </c>
      <c r="AC40" s="14">
        <v>4</v>
      </c>
      <c r="AD40" s="9">
        <f t="shared" si="8"/>
        <v>1.364516290635889</v>
      </c>
      <c r="AE40" s="15">
        <f t="shared" si="9"/>
        <v>0.13718234224752224</v>
      </c>
      <c r="AF40" s="10">
        <f t="shared" si="10"/>
        <v>5.3423842654861167</v>
      </c>
      <c r="AG40" s="14">
        <v>5</v>
      </c>
      <c r="AH40" s="9">
        <f t="shared" si="11"/>
        <v>0.51655248232405637</v>
      </c>
      <c r="AI40" s="9">
        <f t="shared" si="12"/>
        <v>0.13718234224752224</v>
      </c>
      <c r="AJ40" s="14"/>
      <c r="AK40" s="9">
        <f t="shared" si="13"/>
        <v>0</v>
      </c>
      <c r="AL40" s="15">
        <f t="shared" si="14"/>
        <v>7.0861879418985876E-2</v>
      </c>
      <c r="AM40" s="16"/>
      <c r="AN40" s="14"/>
      <c r="AO40" s="14"/>
      <c r="AP40" s="14"/>
      <c r="AQ40" s="14"/>
      <c r="AR40" s="14"/>
      <c r="AS40" s="14"/>
      <c r="AT40" s="14"/>
      <c r="AU40" s="14"/>
      <c r="AV40" s="14"/>
      <c r="AW40" s="15">
        <f t="shared" si="15"/>
        <v>3.2695671163920081E-2</v>
      </c>
    </row>
    <row r="41" spans="1:49" s="13" customFormat="1" x14ac:dyDescent="0.25">
      <c r="A41" s="13" t="s">
        <v>65</v>
      </c>
      <c r="B41" s="13" t="s">
        <v>76</v>
      </c>
      <c r="C41" s="13" t="s">
        <v>121</v>
      </c>
      <c r="D41" s="13" t="s">
        <v>148</v>
      </c>
      <c r="E41" s="9">
        <v>2.1</v>
      </c>
      <c r="F41" s="31">
        <v>8</v>
      </c>
      <c r="G41" s="32" t="s">
        <v>39</v>
      </c>
      <c r="H41" s="14">
        <f t="shared" si="0"/>
        <v>1.088E-3</v>
      </c>
      <c r="I41" s="14">
        <v>2500</v>
      </c>
      <c r="J41" s="14">
        <v>1988</v>
      </c>
      <c r="K41" s="14">
        <f>(59+93)*10</f>
        <v>1520</v>
      </c>
      <c r="L41" s="14">
        <v>2010</v>
      </c>
      <c r="M41" s="14"/>
      <c r="N41" s="14"/>
      <c r="O41" s="14">
        <v>1</v>
      </c>
      <c r="P41" s="10">
        <f t="shared" si="16"/>
        <v>1520</v>
      </c>
      <c r="Q41" s="14">
        <f t="shared" ref="Q41:Q52" si="18">2+10</f>
        <v>12</v>
      </c>
      <c r="R41" s="9">
        <f t="shared" si="2"/>
        <v>35.118493340140525</v>
      </c>
      <c r="S41" s="14">
        <v>2</v>
      </c>
      <c r="T41" s="9">
        <f t="shared" si="3"/>
        <v>1.7903300708920569</v>
      </c>
      <c r="U41" s="14">
        <f t="shared" si="17"/>
        <v>10</v>
      </c>
      <c r="V41" s="9">
        <f t="shared" si="4"/>
        <v>1</v>
      </c>
      <c r="W41" s="14" t="s">
        <v>43</v>
      </c>
      <c r="X41" s="9">
        <f t="shared" si="5"/>
        <v>1</v>
      </c>
      <c r="Y41" s="14">
        <v>20</v>
      </c>
      <c r="Z41" s="9">
        <f t="shared" si="6"/>
        <v>1</v>
      </c>
      <c r="AA41" s="14">
        <v>6</v>
      </c>
      <c r="AB41" s="9">
        <f t="shared" si="7"/>
        <v>1</v>
      </c>
      <c r="AC41" s="14">
        <v>2</v>
      </c>
      <c r="AD41" s="9">
        <f t="shared" si="8"/>
        <v>1.1091567034898182</v>
      </c>
      <c r="AE41" s="15">
        <f t="shared" si="9"/>
        <v>7.5873616550585818E-2</v>
      </c>
      <c r="AF41" s="10">
        <f t="shared" si="10"/>
        <v>7.9444765901210292</v>
      </c>
      <c r="AG41" s="14">
        <v>5</v>
      </c>
      <c r="AH41" s="9">
        <f t="shared" si="11"/>
        <v>0.61373486481362238</v>
      </c>
      <c r="AI41" s="9">
        <f t="shared" si="12"/>
        <v>7.5873616550585818E-2</v>
      </c>
      <c r="AJ41" s="14">
        <v>1</v>
      </c>
      <c r="AK41" s="9">
        <f t="shared" si="13"/>
        <v>0.2</v>
      </c>
      <c r="AL41" s="15">
        <f t="shared" si="14"/>
        <v>0.16931325675931888</v>
      </c>
      <c r="AM41" s="16"/>
      <c r="AN41" s="14"/>
      <c r="AO41" s="14"/>
      <c r="AP41" s="14"/>
      <c r="AQ41" s="14"/>
      <c r="AR41" s="14"/>
      <c r="AS41" s="14"/>
      <c r="AT41" s="14"/>
      <c r="AU41" s="14"/>
      <c r="AV41" s="14"/>
      <c r="AW41" s="15">
        <f t="shared" si="15"/>
        <v>7.812113666874973E-2</v>
      </c>
    </row>
    <row r="42" spans="1:49" s="13" customFormat="1" x14ac:dyDescent="0.25">
      <c r="A42" s="13" t="s">
        <v>65</v>
      </c>
      <c r="B42" s="13" t="s">
        <v>76</v>
      </c>
      <c r="C42" s="13" t="s">
        <v>122</v>
      </c>
      <c r="D42" s="13" t="s">
        <v>149</v>
      </c>
      <c r="E42" s="9"/>
      <c r="F42" s="31">
        <v>8</v>
      </c>
      <c r="G42" s="32" t="s">
        <v>39</v>
      </c>
      <c r="H42" s="14">
        <f t="shared" si="0"/>
        <v>1.088E-3</v>
      </c>
      <c r="I42" s="14"/>
      <c r="J42" s="14"/>
      <c r="K42" s="14">
        <f>(53+129)*10</f>
        <v>1820</v>
      </c>
      <c r="L42" s="14">
        <v>2010</v>
      </c>
      <c r="M42" s="14"/>
      <c r="N42" s="14"/>
      <c r="O42" s="14">
        <v>1</v>
      </c>
      <c r="P42" s="10">
        <f t="shared" si="16"/>
        <v>1820</v>
      </c>
      <c r="Q42" s="14">
        <v>10</v>
      </c>
      <c r="R42" s="9">
        <f t="shared" si="2"/>
        <v>35.094477830156436</v>
      </c>
      <c r="S42" s="14">
        <v>1</v>
      </c>
      <c r="T42" s="9">
        <f t="shared" si="3"/>
        <v>1.3380321636239008</v>
      </c>
      <c r="U42" s="14">
        <f t="shared" si="17"/>
        <v>10</v>
      </c>
      <c r="V42" s="9">
        <f t="shared" si="4"/>
        <v>1</v>
      </c>
      <c r="W42" s="14" t="s">
        <v>43</v>
      </c>
      <c r="X42" s="9">
        <f t="shared" si="5"/>
        <v>1</v>
      </c>
      <c r="Y42" s="14"/>
      <c r="Z42" s="9">
        <f t="shared" si="6"/>
        <v>1</v>
      </c>
      <c r="AA42" s="14"/>
      <c r="AB42" s="9">
        <f t="shared" si="7"/>
        <v>1</v>
      </c>
      <c r="AC42" s="14">
        <v>2</v>
      </c>
      <c r="AD42" s="9">
        <f t="shared" si="8"/>
        <v>1.1091567034898182</v>
      </c>
      <c r="AE42" s="15">
        <f t="shared" si="9"/>
        <v>5.6666598177680029E-2</v>
      </c>
      <c r="AF42" s="10">
        <f t="shared" si="10"/>
        <v>9.3750060195437062</v>
      </c>
      <c r="AG42" s="14">
        <v>5</v>
      </c>
      <c r="AH42" s="9">
        <f t="shared" si="11"/>
        <v>0.65217405869589262</v>
      </c>
      <c r="AI42" s="9">
        <f t="shared" si="12"/>
        <v>5.6666598177680029E-2</v>
      </c>
      <c r="AJ42" s="14"/>
      <c r="AK42" s="9">
        <f t="shared" si="13"/>
        <v>0</v>
      </c>
      <c r="AL42" s="15">
        <f t="shared" si="14"/>
        <v>3.6956485326026856E-2</v>
      </c>
      <c r="AM42" s="16"/>
      <c r="AN42" s="14"/>
      <c r="AO42" s="14"/>
      <c r="AP42" s="14"/>
      <c r="AQ42" s="14"/>
      <c r="AR42" s="14"/>
      <c r="AS42" s="14"/>
      <c r="AT42" s="14"/>
      <c r="AU42" s="14"/>
      <c r="AV42" s="14"/>
      <c r="AW42" s="15">
        <f t="shared" si="15"/>
        <v>1.7051722329428792E-2</v>
      </c>
    </row>
    <row r="43" spans="1:49" s="13" customFormat="1" x14ac:dyDescent="0.25">
      <c r="A43" s="13" t="s">
        <v>65</v>
      </c>
      <c r="B43" s="13" t="s">
        <v>76</v>
      </c>
      <c r="C43" s="13" t="s">
        <v>123</v>
      </c>
      <c r="D43" s="13" t="s">
        <v>150</v>
      </c>
      <c r="E43" s="9">
        <v>2.96</v>
      </c>
      <c r="F43" s="31">
        <v>8</v>
      </c>
      <c r="G43" s="32" t="s">
        <v>39</v>
      </c>
      <c r="H43" s="14">
        <f t="shared" si="0"/>
        <v>1.088E-3</v>
      </c>
      <c r="I43" s="14">
        <v>948</v>
      </c>
      <c r="J43" s="14">
        <v>1988</v>
      </c>
      <c r="K43" s="14">
        <f>(21+25)*10</f>
        <v>460</v>
      </c>
      <c r="L43" s="14">
        <v>2010</v>
      </c>
      <c r="M43" s="14"/>
      <c r="N43" s="14"/>
      <c r="O43" s="14">
        <v>1</v>
      </c>
      <c r="P43" s="10">
        <f t="shared" si="16"/>
        <v>460</v>
      </c>
      <c r="Q43" s="14">
        <f t="shared" si="18"/>
        <v>12</v>
      </c>
      <c r="R43" s="9">
        <f t="shared" si="2"/>
        <v>24.19870766253036</v>
      </c>
      <c r="S43" s="14">
        <v>1</v>
      </c>
      <c r="T43" s="9">
        <f t="shared" si="3"/>
        <v>1.3380321636239008</v>
      </c>
      <c r="U43" s="14">
        <f t="shared" si="17"/>
        <v>10</v>
      </c>
      <c r="V43" s="9">
        <f t="shared" si="4"/>
        <v>1</v>
      </c>
      <c r="W43" s="14" t="s">
        <v>43</v>
      </c>
      <c r="X43" s="9">
        <f t="shared" si="5"/>
        <v>1</v>
      </c>
      <c r="Y43" s="14">
        <v>10</v>
      </c>
      <c r="Z43" s="9">
        <f t="shared" si="6"/>
        <v>1</v>
      </c>
      <c r="AA43" s="14">
        <v>6</v>
      </c>
      <c r="AB43" s="9">
        <f t="shared" si="7"/>
        <v>1</v>
      </c>
      <c r="AC43" s="14">
        <v>2</v>
      </c>
      <c r="AD43" s="9">
        <f t="shared" si="8"/>
        <v>1.1091567034898182</v>
      </c>
      <c r="AE43" s="15">
        <f t="shared" si="9"/>
        <v>3.9073339405934743E-2</v>
      </c>
      <c r="AF43" s="10">
        <f t="shared" si="10"/>
        <v>11.226703822596017</v>
      </c>
      <c r="AG43" s="14">
        <v>5</v>
      </c>
      <c r="AH43" s="9">
        <f t="shared" si="11"/>
        <v>0.69186594796674628</v>
      </c>
      <c r="AI43" s="9">
        <f t="shared" si="12"/>
        <v>3.9073339405934743E-2</v>
      </c>
      <c r="AJ43" s="14"/>
      <c r="AK43" s="9">
        <f t="shared" si="13"/>
        <v>0</v>
      </c>
      <c r="AL43" s="15">
        <f t="shared" si="14"/>
        <v>2.7033513008313463E-2</v>
      </c>
      <c r="AM43" s="16"/>
      <c r="AN43" s="14"/>
      <c r="AO43" s="14"/>
      <c r="AP43" s="14"/>
      <c r="AQ43" s="14"/>
      <c r="AR43" s="14"/>
      <c r="AS43" s="14"/>
      <c r="AT43" s="14"/>
      <c r="AU43" s="14"/>
      <c r="AV43" s="14"/>
      <c r="AW43" s="15">
        <f t="shared" si="15"/>
        <v>1.2473262902035832E-2</v>
      </c>
    </row>
    <row r="44" spans="1:49" s="13" customFormat="1" x14ac:dyDescent="0.25">
      <c r="A44" s="13" t="s">
        <v>65</v>
      </c>
      <c r="B44" s="13" t="s">
        <v>76</v>
      </c>
      <c r="C44" s="13" t="s">
        <v>124</v>
      </c>
      <c r="D44" s="13" t="s">
        <v>151</v>
      </c>
      <c r="E44" s="9">
        <v>3.06</v>
      </c>
      <c r="F44" s="31">
        <v>8</v>
      </c>
      <c r="G44" s="32" t="s">
        <v>39</v>
      </c>
      <c r="H44" s="14">
        <f t="shared" ref="H44:H75" si="19">IF(G44="Passive",0.002268,IF(G44="Lights",0.003646,IF(G44="Gates",0.001088,"Re-enter Crossing Category")))</f>
        <v>1.088E-3</v>
      </c>
      <c r="I44" s="14">
        <v>100</v>
      </c>
      <c r="J44" s="14">
        <v>1988</v>
      </c>
      <c r="K44" s="14">
        <f>(8+12)*10</f>
        <v>200</v>
      </c>
      <c r="L44" s="14">
        <v>2010</v>
      </c>
      <c r="M44" s="14"/>
      <c r="N44" s="14"/>
      <c r="O44" s="14">
        <v>1</v>
      </c>
      <c r="P44" s="10">
        <f t="shared" si="16"/>
        <v>200</v>
      </c>
      <c r="Q44" s="14">
        <f t="shared" si="18"/>
        <v>12</v>
      </c>
      <c r="R44" s="9">
        <f t="shared" ref="R44:R75" si="20">IF(G44="Passive",((P44*Q44+0.2)/0.2)^0.3334,IF(G44="Lights",((P44*Q44+0.2)/0.2)^0.2953,IF(G44="Gates",((P44*Q44+0.2)/0.2)^0.3116,"Re-enter Crossing Category")))</f>
        <v>18.667413731369184</v>
      </c>
      <c r="S44" s="14">
        <v>1</v>
      </c>
      <c r="T44" s="9">
        <f t="shared" ref="T44:T75" si="21">IF(G44="Passive",EXP(0.2094*S44),IF(G44="Lights",EXP(0.1088*S44),IF(G44="Gates",EXP(0.2912*S44),"Re-enter Crossing Category")))</f>
        <v>1.3380321636239008</v>
      </c>
      <c r="U44" s="14">
        <f t="shared" si="17"/>
        <v>10</v>
      </c>
      <c r="V44" s="9">
        <f t="shared" ref="V44:V75" si="22">IF(G44="Passive",((U44+0.2)/0.2)^0.1336,IF(G44="Lights",((U44+0.2)/0.2)^0.047,IF(G44="Gates",1,"Re-enter Crossing Category")))</f>
        <v>1</v>
      </c>
      <c r="W44" s="14" t="s">
        <v>43</v>
      </c>
      <c r="X44" s="9">
        <f t="shared" ref="X44:X75" si="23">IF(G44="Passive",IF(W44="Yes",1,0.54),1)</f>
        <v>1</v>
      </c>
      <c r="Y44" s="14">
        <v>10</v>
      </c>
      <c r="Z44" s="9">
        <f t="shared" ref="Z44:Z75" si="24">IF(G44="Passive",EXP(0.0077*Y44),1)</f>
        <v>1</v>
      </c>
      <c r="AA44" s="14">
        <v>6</v>
      </c>
      <c r="AB44" s="9">
        <f t="shared" ref="AB44:AB75" si="25">IF(G44="Passive",EXP(-0.1*(AA44-1)),1)</f>
        <v>1</v>
      </c>
      <c r="AC44" s="14">
        <v>2</v>
      </c>
      <c r="AD44" s="9">
        <f t="shared" ref="AD44:AD75" si="26">IF(G44="Passive",1,IF(G44="Lights",EXP(0.138*(AC44-1)),IF(G44="Gates",EXP(0.1036*(AC44-1)),"Re-enter Crossing Category")))</f>
        <v>1.1091567034898182</v>
      </c>
      <c r="AE44" s="15">
        <f t="shared" ref="AE44:AE75" si="27">H44*R44*T44*V44*X44*Z44*AB44*AD44</f>
        <v>3.0142030836060141E-2</v>
      </c>
      <c r="AF44" s="10">
        <f t="shared" ref="AF44:AF75" si="28">1/(0.05+AI44)</f>
        <v>12.477847011958263</v>
      </c>
      <c r="AG44" s="14">
        <v>5</v>
      </c>
      <c r="AH44" s="9">
        <f t="shared" ref="AH44:AH75" si="29">AF44/(AF44+AG44)</f>
        <v>0.71392357442086418</v>
      </c>
      <c r="AI44" s="9">
        <f t="shared" ref="AI44:AI75" si="30">AE44</f>
        <v>3.0142030836060141E-2</v>
      </c>
      <c r="AJ44" s="14"/>
      <c r="AK44" s="9">
        <f t="shared" ref="AK44:AK75" si="31">AJ44/AG44</f>
        <v>0</v>
      </c>
      <c r="AL44" s="15">
        <f t="shared" ref="AL44:AL75" si="32">(AH44*AI44)+(AH44*AK44)</f>
        <v>2.1519106394783966E-2</v>
      </c>
      <c r="AM44" s="16"/>
      <c r="AN44" s="14"/>
      <c r="AO44" s="14"/>
      <c r="AP44" s="14"/>
      <c r="AQ44" s="14"/>
      <c r="AR44" s="14"/>
      <c r="AS44" s="14"/>
      <c r="AT44" s="14"/>
      <c r="AU44" s="14"/>
      <c r="AV44" s="14"/>
      <c r="AW44" s="15">
        <f t="shared" ref="AW44:AW75" si="33">IF(G44="Passive",AL44*$AV$9,IF(G44="Lights",AL44*$AV$10,IF(G44="Gates",AL44*$AV$11,"Re-enter Crossing Category")))</f>
        <v>9.9289156905533211E-3</v>
      </c>
    </row>
    <row r="45" spans="1:49" s="13" customFormat="1" x14ac:dyDescent="0.25">
      <c r="A45" s="13" t="s">
        <v>65</v>
      </c>
      <c r="B45" s="13" t="s">
        <v>76</v>
      </c>
      <c r="C45" s="20" t="s">
        <v>139</v>
      </c>
      <c r="D45" s="13" t="s">
        <v>152</v>
      </c>
      <c r="E45" s="9">
        <v>3.12</v>
      </c>
      <c r="F45" s="31">
        <v>8</v>
      </c>
      <c r="G45" s="32" t="s">
        <v>39</v>
      </c>
      <c r="H45" s="14">
        <f t="shared" si="19"/>
        <v>1.088E-3</v>
      </c>
      <c r="I45" s="14">
        <v>3523</v>
      </c>
      <c r="J45" s="14">
        <v>1988</v>
      </c>
      <c r="K45" s="14">
        <f>(238+394)*10</f>
        <v>6320</v>
      </c>
      <c r="L45" s="14">
        <v>2010</v>
      </c>
      <c r="M45" s="14">
        <v>4525</v>
      </c>
      <c r="N45" s="14">
        <v>2005</v>
      </c>
      <c r="O45" s="14">
        <v>1</v>
      </c>
      <c r="P45" s="10">
        <f t="shared" si="16"/>
        <v>6320</v>
      </c>
      <c r="Q45" s="14">
        <f t="shared" si="18"/>
        <v>12</v>
      </c>
      <c r="R45" s="9">
        <f t="shared" si="20"/>
        <v>54.748941627784049</v>
      </c>
      <c r="S45" s="14">
        <v>1</v>
      </c>
      <c r="T45" s="9">
        <f t="shared" si="21"/>
        <v>1.3380321636239008</v>
      </c>
      <c r="U45" s="14">
        <f t="shared" si="17"/>
        <v>10</v>
      </c>
      <c r="V45" s="9">
        <f t="shared" si="22"/>
        <v>1</v>
      </c>
      <c r="W45" s="14" t="s">
        <v>43</v>
      </c>
      <c r="X45" s="9">
        <f t="shared" si="23"/>
        <v>1</v>
      </c>
      <c r="Y45" s="14">
        <v>10</v>
      </c>
      <c r="Z45" s="9">
        <f t="shared" si="24"/>
        <v>1</v>
      </c>
      <c r="AA45" s="14">
        <v>5</v>
      </c>
      <c r="AB45" s="9">
        <f t="shared" si="25"/>
        <v>1</v>
      </c>
      <c r="AC45" s="14">
        <v>2</v>
      </c>
      <c r="AD45" s="9">
        <f t="shared" si="26"/>
        <v>1.1091567034898182</v>
      </c>
      <c r="AE45" s="15">
        <f t="shared" si="27"/>
        <v>8.8402405953708088E-2</v>
      </c>
      <c r="AF45" s="10">
        <f t="shared" si="28"/>
        <v>7.2253079208353741</v>
      </c>
      <c r="AG45" s="14">
        <v>5</v>
      </c>
      <c r="AH45" s="9">
        <f t="shared" si="29"/>
        <v>0.59101234648833767</v>
      </c>
      <c r="AI45" s="9">
        <f t="shared" si="30"/>
        <v>8.8402405953708088E-2</v>
      </c>
      <c r="AJ45" s="14"/>
      <c r="AK45" s="9">
        <f t="shared" si="31"/>
        <v>0</v>
      </c>
      <c r="AL45" s="15">
        <f t="shared" si="32"/>
        <v>5.2246913377915608E-2</v>
      </c>
      <c r="AM45" s="16"/>
      <c r="AN45" s="14"/>
      <c r="AO45" s="14"/>
      <c r="AP45" s="14"/>
      <c r="AQ45" s="14"/>
      <c r="AR45" s="14"/>
      <c r="AS45" s="14"/>
      <c r="AT45" s="14"/>
      <c r="AU45" s="14"/>
      <c r="AV45" s="14"/>
      <c r="AW45" s="15">
        <f t="shared" si="33"/>
        <v>2.4106725832570262E-2</v>
      </c>
    </row>
    <row r="46" spans="1:49" s="13" customFormat="1" x14ac:dyDescent="0.25">
      <c r="A46" s="13" t="s">
        <v>65</v>
      </c>
      <c r="B46" s="13" t="s">
        <v>76</v>
      </c>
      <c r="C46" s="13" t="s">
        <v>125</v>
      </c>
      <c r="D46" s="13" t="s">
        <v>153</v>
      </c>
      <c r="E46" s="9">
        <v>3.79</v>
      </c>
      <c r="F46" s="31">
        <v>8</v>
      </c>
      <c r="G46" s="32" t="s">
        <v>39</v>
      </c>
      <c r="H46" s="14">
        <f t="shared" si="19"/>
        <v>1.088E-3</v>
      </c>
      <c r="I46" s="14">
        <v>13660</v>
      </c>
      <c r="J46" s="14">
        <v>1988</v>
      </c>
      <c r="K46" s="14">
        <f>(1105+946)*10</f>
        <v>20510</v>
      </c>
      <c r="L46" s="14">
        <v>2010</v>
      </c>
      <c r="M46" s="14">
        <v>19369</v>
      </c>
      <c r="N46" s="14">
        <v>2007</v>
      </c>
      <c r="O46" s="14">
        <v>1</v>
      </c>
      <c r="P46" s="10">
        <f t="shared" si="16"/>
        <v>20510</v>
      </c>
      <c r="Q46" s="14">
        <f t="shared" si="18"/>
        <v>12</v>
      </c>
      <c r="R46" s="9">
        <f t="shared" si="20"/>
        <v>79.00972302743638</v>
      </c>
      <c r="S46" s="14">
        <v>1</v>
      </c>
      <c r="T46" s="9">
        <f t="shared" si="21"/>
        <v>1.3380321636239008</v>
      </c>
      <c r="U46" s="14">
        <f t="shared" si="17"/>
        <v>10</v>
      </c>
      <c r="V46" s="9">
        <f t="shared" si="22"/>
        <v>1</v>
      </c>
      <c r="W46" s="14" t="s">
        <v>43</v>
      </c>
      <c r="X46" s="9">
        <f t="shared" si="23"/>
        <v>1</v>
      </c>
      <c r="Y46" s="14">
        <v>10</v>
      </c>
      <c r="Z46" s="9">
        <f t="shared" si="24"/>
        <v>1</v>
      </c>
      <c r="AA46" s="14">
        <v>4</v>
      </c>
      <c r="AB46" s="9">
        <f t="shared" si="25"/>
        <v>1</v>
      </c>
      <c r="AC46" s="14">
        <v>5</v>
      </c>
      <c r="AD46" s="9">
        <f t="shared" si="26"/>
        <v>1.5134623907798572</v>
      </c>
      <c r="AE46" s="15">
        <f t="shared" si="27"/>
        <v>0.17407949620565247</v>
      </c>
      <c r="AF46" s="10">
        <f t="shared" si="28"/>
        <v>4.4627019291503327</v>
      </c>
      <c r="AG46" s="14">
        <v>5</v>
      </c>
      <c r="AH46" s="9">
        <f t="shared" si="29"/>
        <v>0.47160969061096103</v>
      </c>
      <c r="AI46" s="9">
        <f t="shared" si="30"/>
        <v>0.17407949620565247</v>
      </c>
      <c r="AJ46" s="14"/>
      <c r="AK46" s="9">
        <f t="shared" si="31"/>
        <v>0</v>
      </c>
      <c r="AL46" s="15">
        <f t="shared" si="32"/>
        <v>8.2097577347259726E-2</v>
      </c>
      <c r="AM46" s="16"/>
      <c r="AN46" s="14"/>
      <c r="AO46" s="14"/>
      <c r="AP46" s="14"/>
      <c r="AQ46" s="14"/>
      <c r="AR46" s="14"/>
      <c r="AS46" s="14"/>
      <c r="AT46" s="14"/>
      <c r="AU46" s="14"/>
      <c r="AV46" s="14"/>
      <c r="AW46" s="15">
        <f t="shared" si="33"/>
        <v>3.7879822188025637E-2</v>
      </c>
    </row>
    <row r="47" spans="1:49" s="13" customFormat="1" x14ac:dyDescent="0.25">
      <c r="A47" s="13" t="s">
        <v>65</v>
      </c>
      <c r="B47" s="13" t="s">
        <v>76</v>
      </c>
      <c r="C47" s="13" t="s">
        <v>126</v>
      </c>
      <c r="D47" s="13" t="s">
        <v>170</v>
      </c>
      <c r="E47" s="9">
        <v>4.1500000000000004</v>
      </c>
      <c r="F47" s="31">
        <v>8</v>
      </c>
      <c r="G47" s="32" t="s">
        <v>39</v>
      </c>
      <c r="H47" s="14">
        <f t="shared" si="19"/>
        <v>1.088E-3</v>
      </c>
      <c r="I47" s="14">
        <v>4100</v>
      </c>
      <c r="J47" s="14">
        <v>1988</v>
      </c>
      <c r="K47" s="14">
        <f>(173+193)*10</f>
        <v>3660</v>
      </c>
      <c r="L47" s="14">
        <v>2010</v>
      </c>
      <c r="M47" s="14">
        <v>5039</v>
      </c>
      <c r="N47" s="14">
        <v>2007</v>
      </c>
      <c r="O47" s="14">
        <v>1</v>
      </c>
      <c r="P47" s="10">
        <f t="shared" si="16"/>
        <v>3660</v>
      </c>
      <c r="Q47" s="14">
        <f t="shared" si="18"/>
        <v>12</v>
      </c>
      <c r="R47" s="9">
        <f t="shared" si="20"/>
        <v>46.179928063953966</v>
      </c>
      <c r="S47" s="14">
        <v>1</v>
      </c>
      <c r="T47" s="9">
        <f t="shared" si="21"/>
        <v>1.3380321636239008</v>
      </c>
      <c r="U47" s="14">
        <f t="shared" si="17"/>
        <v>12</v>
      </c>
      <c r="V47" s="9">
        <f t="shared" si="22"/>
        <v>1</v>
      </c>
      <c r="W47" s="14" t="s">
        <v>43</v>
      </c>
      <c r="X47" s="9">
        <f t="shared" si="23"/>
        <v>1</v>
      </c>
      <c r="Y47" s="14">
        <v>10</v>
      </c>
      <c r="Z47" s="9">
        <f t="shared" si="24"/>
        <v>1</v>
      </c>
      <c r="AA47" s="14">
        <v>6</v>
      </c>
      <c r="AB47" s="9">
        <f t="shared" si="25"/>
        <v>1</v>
      </c>
      <c r="AC47" s="14">
        <v>5</v>
      </c>
      <c r="AD47" s="9">
        <f t="shared" si="26"/>
        <v>1.5134623907798572</v>
      </c>
      <c r="AE47" s="15">
        <f t="shared" si="27"/>
        <v>0.10174670033199354</v>
      </c>
      <c r="AF47" s="10">
        <f t="shared" si="28"/>
        <v>6.5899291240744349</v>
      </c>
      <c r="AG47" s="14">
        <v>5</v>
      </c>
      <c r="AH47" s="9">
        <f t="shared" si="29"/>
        <v>0.56859097700484884</v>
      </c>
      <c r="AI47" s="9">
        <f t="shared" si="30"/>
        <v>0.10174670033199354</v>
      </c>
      <c r="AJ47" s="14"/>
      <c r="AK47" s="9">
        <f t="shared" si="31"/>
        <v>0</v>
      </c>
      <c r="AL47" s="15">
        <f t="shared" si="32"/>
        <v>5.7852255748787787E-2</v>
      </c>
      <c r="AM47" s="16"/>
      <c r="AN47" s="14"/>
      <c r="AO47" s="14"/>
      <c r="AP47" s="14"/>
      <c r="AQ47" s="14"/>
      <c r="AR47" s="14"/>
      <c r="AS47" s="14"/>
      <c r="AT47" s="14"/>
      <c r="AU47" s="14"/>
      <c r="AV47" s="14"/>
      <c r="AW47" s="15">
        <f t="shared" si="33"/>
        <v>2.6693030802490685E-2</v>
      </c>
    </row>
    <row r="48" spans="1:49" s="13" customFormat="1" x14ac:dyDescent="0.25">
      <c r="A48" s="13" t="s">
        <v>65</v>
      </c>
      <c r="B48" s="13" t="s">
        <v>76</v>
      </c>
      <c r="C48" s="13" t="s">
        <v>127</v>
      </c>
      <c r="D48" s="13" t="s">
        <v>171</v>
      </c>
      <c r="E48" s="9">
        <v>5.47</v>
      </c>
      <c r="F48" s="31">
        <v>8</v>
      </c>
      <c r="G48" s="32" t="s">
        <v>39</v>
      </c>
      <c r="H48" s="14">
        <f t="shared" si="19"/>
        <v>1.088E-3</v>
      </c>
      <c r="I48" s="14">
        <v>1</v>
      </c>
      <c r="J48" s="14">
        <v>1988</v>
      </c>
      <c r="K48" s="14">
        <f>(63+19)*10</f>
        <v>820</v>
      </c>
      <c r="L48" s="14">
        <v>2010</v>
      </c>
      <c r="M48" s="14"/>
      <c r="N48" s="14"/>
      <c r="O48" s="14">
        <v>1</v>
      </c>
      <c r="P48" s="10">
        <f t="shared" si="16"/>
        <v>820</v>
      </c>
      <c r="Q48" s="14">
        <f t="shared" si="18"/>
        <v>12</v>
      </c>
      <c r="R48" s="9">
        <f t="shared" si="20"/>
        <v>28.974708572539576</v>
      </c>
      <c r="S48" s="14">
        <v>2</v>
      </c>
      <c r="T48" s="9">
        <f t="shared" si="21"/>
        <v>1.7903300708920569</v>
      </c>
      <c r="U48" s="14">
        <f t="shared" si="17"/>
        <v>10</v>
      </c>
      <c r="V48" s="9">
        <f t="shared" si="22"/>
        <v>1</v>
      </c>
      <c r="W48" s="14" t="s">
        <v>43</v>
      </c>
      <c r="X48" s="9">
        <f t="shared" si="23"/>
        <v>1</v>
      </c>
      <c r="Y48" s="14">
        <v>10</v>
      </c>
      <c r="Z48" s="9">
        <f t="shared" si="24"/>
        <v>1</v>
      </c>
      <c r="AA48" s="14">
        <v>5</v>
      </c>
      <c r="AB48" s="9">
        <f t="shared" si="25"/>
        <v>1</v>
      </c>
      <c r="AC48" s="14">
        <v>2</v>
      </c>
      <c r="AD48" s="9">
        <f t="shared" si="26"/>
        <v>1.1091567034898182</v>
      </c>
      <c r="AE48" s="15">
        <f t="shared" si="27"/>
        <v>6.2599950020778505E-2</v>
      </c>
      <c r="AF48" s="10">
        <f t="shared" si="28"/>
        <v>8.880998613369421</v>
      </c>
      <c r="AG48" s="14">
        <v>5</v>
      </c>
      <c r="AH48" s="9">
        <f t="shared" si="29"/>
        <v>0.63979536780701984</v>
      </c>
      <c r="AI48" s="9">
        <f t="shared" si="30"/>
        <v>6.2599950020778505E-2</v>
      </c>
      <c r="AJ48" s="14"/>
      <c r="AK48" s="9">
        <f t="shared" si="31"/>
        <v>0</v>
      </c>
      <c r="AL48" s="15">
        <f t="shared" si="32"/>
        <v>4.0051158048245043E-2</v>
      </c>
      <c r="AM48" s="16"/>
      <c r="AN48" s="14"/>
      <c r="AO48" s="14"/>
      <c r="AP48" s="14"/>
      <c r="AQ48" s="14"/>
      <c r="AR48" s="14"/>
      <c r="AS48" s="14"/>
      <c r="AT48" s="14"/>
      <c r="AU48" s="14"/>
      <c r="AV48" s="14"/>
      <c r="AW48" s="15">
        <f t="shared" si="33"/>
        <v>1.8479604323460262E-2</v>
      </c>
    </row>
    <row r="49" spans="1:49" s="13" customFormat="1" x14ac:dyDescent="0.25">
      <c r="A49" s="13" t="s">
        <v>65</v>
      </c>
      <c r="B49" s="13" t="s">
        <v>76</v>
      </c>
      <c r="C49" s="13" t="s">
        <v>128</v>
      </c>
      <c r="D49" s="13" t="s">
        <v>154</v>
      </c>
      <c r="E49" s="9">
        <v>5.81</v>
      </c>
      <c r="F49" s="31">
        <v>8</v>
      </c>
      <c r="G49" s="32" t="s">
        <v>39</v>
      </c>
      <c r="H49" s="14">
        <f t="shared" si="19"/>
        <v>1.088E-3</v>
      </c>
      <c r="I49" s="14">
        <v>10552</v>
      </c>
      <c r="J49" s="14">
        <v>1988</v>
      </c>
      <c r="K49" s="14">
        <f>(987+1408)*10</f>
        <v>23950</v>
      </c>
      <c r="L49" s="14">
        <v>2010</v>
      </c>
      <c r="M49" s="14">
        <v>30541</v>
      </c>
      <c r="N49" s="14">
        <v>2007</v>
      </c>
      <c r="O49" s="14">
        <v>1</v>
      </c>
      <c r="P49" s="10">
        <f t="shared" si="16"/>
        <v>23950</v>
      </c>
      <c r="Q49" s="14">
        <f t="shared" si="18"/>
        <v>12</v>
      </c>
      <c r="R49" s="9">
        <f t="shared" si="20"/>
        <v>82.920826675561884</v>
      </c>
      <c r="S49" s="14">
        <v>2</v>
      </c>
      <c r="T49" s="9">
        <f t="shared" si="21"/>
        <v>1.7903300708920569</v>
      </c>
      <c r="U49" s="14">
        <f t="shared" si="17"/>
        <v>10</v>
      </c>
      <c r="V49" s="9">
        <f t="shared" si="22"/>
        <v>1</v>
      </c>
      <c r="W49" s="14" t="s">
        <v>43</v>
      </c>
      <c r="X49" s="9">
        <f t="shared" si="23"/>
        <v>1</v>
      </c>
      <c r="Y49" s="14">
        <v>10</v>
      </c>
      <c r="Z49" s="9">
        <f t="shared" si="24"/>
        <v>1</v>
      </c>
      <c r="AA49" s="14">
        <v>3</v>
      </c>
      <c r="AB49" s="9">
        <f t="shared" si="25"/>
        <v>1</v>
      </c>
      <c r="AC49" s="14">
        <v>4</v>
      </c>
      <c r="AD49" s="9">
        <f t="shared" si="26"/>
        <v>1.364516290635889</v>
      </c>
      <c r="AE49" s="15">
        <f t="shared" si="27"/>
        <v>0.22039632557221614</v>
      </c>
      <c r="AF49" s="10">
        <f t="shared" si="28"/>
        <v>3.698275107414227</v>
      </c>
      <c r="AG49" s="14">
        <v>5</v>
      </c>
      <c r="AH49" s="9">
        <f t="shared" si="29"/>
        <v>0.42517338917711339</v>
      </c>
      <c r="AI49" s="9">
        <f t="shared" si="30"/>
        <v>0.22039632557221614</v>
      </c>
      <c r="AJ49" s="14"/>
      <c r="AK49" s="9">
        <f t="shared" si="31"/>
        <v>0</v>
      </c>
      <c r="AL49" s="15">
        <f t="shared" si="32"/>
        <v>9.3706652705721635E-2</v>
      </c>
      <c r="AM49" s="16"/>
      <c r="AN49" s="14"/>
      <c r="AO49" s="14"/>
      <c r="AP49" s="14"/>
      <c r="AQ49" s="14"/>
      <c r="AR49" s="14"/>
      <c r="AS49" s="14"/>
      <c r="AT49" s="14"/>
      <c r="AU49" s="14"/>
      <c r="AV49" s="14"/>
      <c r="AW49" s="15">
        <f t="shared" si="33"/>
        <v>4.323624955841996E-2</v>
      </c>
    </row>
    <row r="50" spans="1:49" s="13" customFormat="1" x14ac:dyDescent="0.25">
      <c r="A50" s="13" t="s">
        <v>65</v>
      </c>
      <c r="B50" s="13" t="s">
        <v>76</v>
      </c>
      <c r="C50" s="13" t="s">
        <v>129</v>
      </c>
      <c r="D50" s="13" t="s">
        <v>169</v>
      </c>
      <c r="E50" s="9">
        <v>6.04</v>
      </c>
      <c r="F50" s="31">
        <v>8</v>
      </c>
      <c r="G50" s="32" t="s">
        <v>39</v>
      </c>
      <c r="H50" s="14">
        <f t="shared" si="19"/>
        <v>1.088E-3</v>
      </c>
      <c r="I50" s="14">
        <v>100</v>
      </c>
      <c r="J50" s="14">
        <v>1988</v>
      </c>
      <c r="K50" s="14">
        <f>(32+42)*10</f>
        <v>740</v>
      </c>
      <c r="L50" s="14">
        <v>2010</v>
      </c>
      <c r="M50" s="14"/>
      <c r="N50" s="14"/>
      <c r="O50" s="14">
        <v>1</v>
      </c>
      <c r="P50" s="10">
        <f t="shared" si="16"/>
        <v>740</v>
      </c>
      <c r="Q50" s="14">
        <f t="shared" si="18"/>
        <v>12</v>
      </c>
      <c r="R50" s="9">
        <f t="shared" si="20"/>
        <v>28.062579025354012</v>
      </c>
      <c r="S50" s="14">
        <v>1</v>
      </c>
      <c r="T50" s="9">
        <f t="shared" si="21"/>
        <v>1.3380321636239008</v>
      </c>
      <c r="U50" s="14">
        <f t="shared" si="17"/>
        <v>10</v>
      </c>
      <c r="V50" s="9">
        <f t="shared" si="22"/>
        <v>1</v>
      </c>
      <c r="W50" s="14" t="s">
        <v>43</v>
      </c>
      <c r="X50" s="9">
        <f t="shared" si="23"/>
        <v>1</v>
      </c>
      <c r="Y50" s="14">
        <v>10</v>
      </c>
      <c r="Z50" s="9">
        <f t="shared" si="24"/>
        <v>1</v>
      </c>
      <c r="AA50" s="14">
        <v>6</v>
      </c>
      <c r="AB50" s="9">
        <f t="shared" si="25"/>
        <v>1</v>
      </c>
      <c r="AC50" s="14">
        <v>2</v>
      </c>
      <c r="AD50" s="9">
        <f t="shared" si="26"/>
        <v>1.1091567034898182</v>
      </c>
      <c r="AE50" s="15">
        <f t="shared" si="27"/>
        <v>4.5312282381152015E-2</v>
      </c>
      <c r="AF50" s="10">
        <f t="shared" si="28"/>
        <v>10.491827233776847</v>
      </c>
      <c r="AG50" s="14">
        <v>5</v>
      </c>
      <c r="AH50" s="9">
        <f t="shared" si="29"/>
        <v>0.67724917632062831</v>
      </c>
      <c r="AI50" s="9">
        <f t="shared" si="30"/>
        <v>4.5312282381152015E-2</v>
      </c>
      <c r="AJ50" s="14"/>
      <c r="AK50" s="9">
        <f t="shared" si="31"/>
        <v>0</v>
      </c>
      <c r="AL50" s="15">
        <f t="shared" si="32"/>
        <v>3.068770591984292E-2</v>
      </c>
      <c r="AM50" s="16"/>
      <c r="AN50" s="14"/>
      <c r="AO50" s="14"/>
      <c r="AP50" s="14"/>
      <c r="AQ50" s="14"/>
      <c r="AR50" s="14"/>
      <c r="AS50" s="14"/>
      <c r="AT50" s="14"/>
      <c r="AU50" s="14"/>
      <c r="AV50" s="14"/>
      <c r="AW50" s="15">
        <f t="shared" si="33"/>
        <v>1.4159307511415522E-2</v>
      </c>
    </row>
    <row r="51" spans="1:49" s="13" customFormat="1" x14ac:dyDescent="0.25">
      <c r="A51" s="13" t="s">
        <v>65</v>
      </c>
      <c r="B51" s="13" t="s">
        <v>76</v>
      </c>
      <c r="C51" s="13" t="s">
        <v>130</v>
      </c>
      <c r="D51" s="13" t="s">
        <v>155</v>
      </c>
      <c r="E51" s="9">
        <v>6.9</v>
      </c>
      <c r="F51" s="31">
        <v>8</v>
      </c>
      <c r="G51" s="32" t="s">
        <v>39</v>
      </c>
      <c r="H51" s="14">
        <f t="shared" si="19"/>
        <v>1.088E-3</v>
      </c>
      <c r="I51" s="14">
        <v>14293</v>
      </c>
      <c r="J51" s="14">
        <v>1988</v>
      </c>
      <c r="K51" s="14">
        <f>(837+884)*10</f>
        <v>17210</v>
      </c>
      <c r="L51" s="14">
        <v>2010</v>
      </c>
      <c r="M51" s="14">
        <v>23115</v>
      </c>
      <c r="N51" s="14">
        <v>2007</v>
      </c>
      <c r="O51" s="14">
        <v>1</v>
      </c>
      <c r="P51" s="10">
        <f t="shared" si="16"/>
        <v>17210</v>
      </c>
      <c r="Q51" s="14">
        <f t="shared" si="18"/>
        <v>12</v>
      </c>
      <c r="R51" s="9">
        <f t="shared" si="20"/>
        <v>74.806852102049362</v>
      </c>
      <c r="S51" s="14">
        <v>1</v>
      </c>
      <c r="T51" s="9">
        <f t="shared" si="21"/>
        <v>1.3380321636239008</v>
      </c>
      <c r="U51" s="14">
        <f t="shared" si="17"/>
        <v>10</v>
      </c>
      <c r="V51" s="9">
        <f t="shared" si="22"/>
        <v>1</v>
      </c>
      <c r="W51" s="14" t="s">
        <v>43</v>
      </c>
      <c r="X51" s="9">
        <f t="shared" si="23"/>
        <v>1</v>
      </c>
      <c r="Y51" s="14">
        <v>10</v>
      </c>
      <c r="Z51" s="9">
        <f t="shared" si="24"/>
        <v>1</v>
      </c>
      <c r="AA51" s="14">
        <v>4</v>
      </c>
      <c r="AB51" s="9">
        <f t="shared" si="25"/>
        <v>1</v>
      </c>
      <c r="AC51" s="14">
        <v>5</v>
      </c>
      <c r="AD51" s="9">
        <f t="shared" si="26"/>
        <v>1.5134623907798572</v>
      </c>
      <c r="AE51" s="15">
        <f t="shared" si="27"/>
        <v>0.1648194504128746</v>
      </c>
      <c r="AF51" s="10">
        <f t="shared" si="28"/>
        <v>4.6550719596295353</v>
      </c>
      <c r="AG51" s="14">
        <v>5</v>
      </c>
      <c r="AH51" s="9">
        <f t="shared" si="29"/>
        <v>0.48213746920723632</v>
      </c>
      <c r="AI51" s="9">
        <f t="shared" si="30"/>
        <v>0.1648194504128746</v>
      </c>
      <c r="AJ51" s="14"/>
      <c r="AK51" s="9">
        <f t="shared" si="31"/>
        <v>0</v>
      </c>
      <c r="AL51" s="15">
        <f t="shared" si="32"/>
        <v>7.9465632698190944E-2</v>
      </c>
      <c r="AM51" s="16"/>
      <c r="AN51" s="14"/>
      <c r="AO51" s="14"/>
      <c r="AP51" s="14"/>
      <c r="AQ51" s="14"/>
      <c r="AR51" s="14"/>
      <c r="AS51" s="14"/>
      <c r="AT51" s="14"/>
      <c r="AU51" s="14"/>
      <c r="AV51" s="14"/>
      <c r="AW51" s="15">
        <f t="shared" si="33"/>
        <v>3.6665442926945298E-2</v>
      </c>
    </row>
    <row r="52" spans="1:49" s="13" customFormat="1" x14ac:dyDescent="0.25">
      <c r="A52" s="13" t="s">
        <v>65</v>
      </c>
      <c r="B52" s="13" t="s">
        <v>76</v>
      </c>
      <c r="C52" s="13" t="s">
        <v>131</v>
      </c>
      <c r="D52" s="13" t="s">
        <v>140</v>
      </c>
      <c r="E52" s="9">
        <v>7.89</v>
      </c>
      <c r="F52" s="31">
        <v>8</v>
      </c>
      <c r="G52" s="32" t="s">
        <v>39</v>
      </c>
      <c r="H52" s="14">
        <f t="shared" si="19"/>
        <v>1.088E-3</v>
      </c>
      <c r="I52" s="14">
        <v>21000</v>
      </c>
      <c r="J52" s="14">
        <v>1988</v>
      </c>
      <c r="K52" s="14">
        <f>(1009+999)*10</f>
        <v>20080</v>
      </c>
      <c r="L52" s="14">
        <v>2010</v>
      </c>
      <c r="M52" s="14"/>
      <c r="N52" s="14"/>
      <c r="O52" s="14">
        <v>1</v>
      </c>
      <c r="P52" s="10">
        <f t="shared" si="16"/>
        <v>20080</v>
      </c>
      <c r="Q52" s="14">
        <f t="shared" si="18"/>
        <v>12</v>
      </c>
      <c r="R52" s="9">
        <f t="shared" si="20"/>
        <v>78.489798381391665</v>
      </c>
      <c r="S52" s="14">
        <v>1</v>
      </c>
      <c r="T52" s="9">
        <f t="shared" si="21"/>
        <v>1.3380321636239008</v>
      </c>
      <c r="U52" s="14">
        <f t="shared" si="17"/>
        <v>10</v>
      </c>
      <c r="V52" s="9">
        <f t="shared" si="22"/>
        <v>1</v>
      </c>
      <c r="W52" s="14" t="s">
        <v>43</v>
      </c>
      <c r="X52" s="9">
        <f t="shared" si="23"/>
        <v>1</v>
      </c>
      <c r="Y52" s="14">
        <v>10</v>
      </c>
      <c r="Z52" s="9">
        <f t="shared" si="24"/>
        <v>1</v>
      </c>
      <c r="AA52" s="14">
        <v>3</v>
      </c>
      <c r="AB52" s="9">
        <f t="shared" si="25"/>
        <v>1</v>
      </c>
      <c r="AC52" s="14">
        <v>4</v>
      </c>
      <c r="AD52" s="9">
        <f t="shared" si="26"/>
        <v>1.364516290635889</v>
      </c>
      <c r="AE52" s="15">
        <f t="shared" si="27"/>
        <v>0.15591481615978839</v>
      </c>
      <c r="AF52" s="10">
        <f t="shared" si="28"/>
        <v>4.856377110931188</v>
      </c>
      <c r="AG52" s="14">
        <v>5</v>
      </c>
      <c r="AH52" s="9">
        <f t="shared" si="29"/>
        <v>0.49271421499743917</v>
      </c>
      <c r="AI52" s="9">
        <f t="shared" si="30"/>
        <v>0.15591481615978839</v>
      </c>
      <c r="AJ52" s="14"/>
      <c r="AK52" s="9">
        <f t="shared" si="31"/>
        <v>0</v>
      </c>
      <c r="AL52" s="15">
        <f t="shared" si="32"/>
        <v>7.6821446250640177E-2</v>
      </c>
      <c r="AM52" s="16"/>
      <c r="AN52" s="14"/>
      <c r="AO52" s="14"/>
      <c r="AP52" s="14"/>
      <c r="AQ52" s="14"/>
      <c r="AR52" s="14"/>
      <c r="AS52" s="14"/>
      <c r="AT52" s="14"/>
      <c r="AU52" s="14"/>
      <c r="AV52" s="14"/>
      <c r="AW52" s="15">
        <f t="shared" si="33"/>
        <v>3.5445415300045378E-2</v>
      </c>
    </row>
    <row r="53" spans="1:49" s="13" customFormat="1" x14ac:dyDescent="0.25">
      <c r="A53" s="13" t="s">
        <v>65</v>
      </c>
      <c r="B53" s="13" t="s">
        <v>76</v>
      </c>
      <c r="C53" s="13" t="s">
        <v>132</v>
      </c>
      <c r="D53" s="13" t="s">
        <v>145</v>
      </c>
      <c r="E53" s="9">
        <v>8.59</v>
      </c>
      <c r="F53" s="31">
        <v>8</v>
      </c>
      <c r="G53" s="32" t="s">
        <v>39</v>
      </c>
      <c r="H53" s="14">
        <f t="shared" si="19"/>
        <v>1.088E-3</v>
      </c>
      <c r="I53" s="14">
        <v>12973</v>
      </c>
      <c r="J53" s="14">
        <v>1988</v>
      </c>
      <c r="K53" s="14">
        <f>(1440+983)*10</f>
        <v>24230</v>
      </c>
      <c r="L53" s="14">
        <v>2010</v>
      </c>
      <c r="M53" s="14"/>
      <c r="N53" s="14"/>
      <c r="O53" s="14">
        <v>1</v>
      </c>
      <c r="P53" s="10">
        <f t="shared" si="16"/>
        <v>24230</v>
      </c>
      <c r="Q53" s="14">
        <f>2+20</f>
        <v>22</v>
      </c>
      <c r="R53" s="9">
        <f t="shared" si="20"/>
        <v>100.52232740659029</v>
      </c>
      <c r="S53" s="14">
        <v>1</v>
      </c>
      <c r="T53" s="9">
        <f t="shared" si="21"/>
        <v>1.3380321636239008</v>
      </c>
      <c r="U53" s="14">
        <f t="shared" si="17"/>
        <v>20</v>
      </c>
      <c r="V53" s="9">
        <f t="shared" si="22"/>
        <v>1</v>
      </c>
      <c r="W53" s="14" t="s">
        <v>43</v>
      </c>
      <c r="X53" s="9">
        <f t="shared" si="23"/>
        <v>1</v>
      </c>
      <c r="Y53" s="14">
        <v>10</v>
      </c>
      <c r="Z53" s="9">
        <f t="shared" si="24"/>
        <v>1</v>
      </c>
      <c r="AA53" s="14">
        <v>4</v>
      </c>
      <c r="AB53" s="9">
        <f t="shared" si="25"/>
        <v>1</v>
      </c>
      <c r="AC53" s="14">
        <v>5</v>
      </c>
      <c r="AD53" s="9">
        <f t="shared" si="26"/>
        <v>1.5134623907798572</v>
      </c>
      <c r="AE53" s="15">
        <f t="shared" si="27"/>
        <v>0.22147750228515992</v>
      </c>
      <c r="AF53" s="10">
        <f t="shared" si="28"/>
        <v>3.6835464875818702</v>
      </c>
      <c r="AG53" s="14">
        <v>5</v>
      </c>
      <c r="AH53" s="9">
        <f t="shared" si="29"/>
        <v>0.42419839553454586</v>
      </c>
      <c r="AI53" s="9">
        <f t="shared" si="30"/>
        <v>0.22147750228515992</v>
      </c>
      <c r="AJ53" s="14">
        <v>1</v>
      </c>
      <c r="AK53" s="9">
        <f t="shared" si="31"/>
        <v>0.2</v>
      </c>
      <c r="AL53" s="15">
        <f t="shared" si="32"/>
        <v>0.17879008022327272</v>
      </c>
      <c r="AM53" s="16"/>
      <c r="AN53" s="14"/>
      <c r="AO53" s="14"/>
      <c r="AP53" s="14"/>
      <c r="AQ53" s="14"/>
      <c r="AR53" s="14"/>
      <c r="AS53" s="14"/>
      <c r="AT53" s="14"/>
      <c r="AU53" s="14"/>
      <c r="AV53" s="14"/>
      <c r="AW53" s="15">
        <f t="shared" si="33"/>
        <v>8.2493743015018037E-2</v>
      </c>
    </row>
    <row r="54" spans="1:49" s="13" customFormat="1" x14ac:dyDescent="0.25">
      <c r="A54" s="13" t="s">
        <v>65</v>
      </c>
      <c r="B54" s="13" t="s">
        <v>76</v>
      </c>
      <c r="C54" s="13" t="s">
        <v>133</v>
      </c>
      <c r="D54" s="13" t="s">
        <v>146</v>
      </c>
      <c r="E54" s="9">
        <v>9.09</v>
      </c>
      <c r="F54" s="31">
        <v>8</v>
      </c>
      <c r="G54" s="32" t="s">
        <v>39</v>
      </c>
      <c r="H54" s="14">
        <f t="shared" si="19"/>
        <v>1.088E-3</v>
      </c>
      <c r="I54" s="14">
        <v>6500</v>
      </c>
      <c r="J54" s="14">
        <v>1988</v>
      </c>
      <c r="K54" s="14">
        <f>(774+539)*10</f>
        <v>13130</v>
      </c>
      <c r="L54" s="14">
        <v>2010</v>
      </c>
      <c r="M54" s="14"/>
      <c r="N54" s="14"/>
      <c r="O54" s="14">
        <v>1</v>
      </c>
      <c r="P54" s="10">
        <f t="shared" si="16"/>
        <v>13130</v>
      </c>
      <c r="Q54" s="14">
        <f>2+20</f>
        <v>22</v>
      </c>
      <c r="R54" s="9">
        <f t="shared" si="20"/>
        <v>83.051856144714165</v>
      </c>
      <c r="S54" s="14">
        <v>1</v>
      </c>
      <c r="T54" s="9">
        <f t="shared" si="21"/>
        <v>1.3380321636239008</v>
      </c>
      <c r="U54" s="14">
        <f t="shared" si="17"/>
        <v>20</v>
      </c>
      <c r="V54" s="9">
        <f t="shared" si="22"/>
        <v>1</v>
      </c>
      <c r="W54" s="14" t="s">
        <v>43</v>
      </c>
      <c r="X54" s="9">
        <f t="shared" si="23"/>
        <v>1</v>
      </c>
      <c r="Y54" s="14">
        <v>10</v>
      </c>
      <c r="Z54" s="9">
        <f t="shared" si="24"/>
        <v>1</v>
      </c>
      <c r="AA54" s="14">
        <v>5</v>
      </c>
      <c r="AB54" s="9">
        <f t="shared" si="25"/>
        <v>1</v>
      </c>
      <c r="AC54" s="14">
        <v>2</v>
      </c>
      <c r="AD54" s="9">
        <f t="shared" si="26"/>
        <v>1.1091567034898182</v>
      </c>
      <c r="AE54" s="15">
        <f t="shared" si="27"/>
        <v>0.13410275493596155</v>
      </c>
      <c r="AF54" s="10">
        <f t="shared" si="28"/>
        <v>5.4317492443165269</v>
      </c>
      <c r="AG54" s="14">
        <v>5</v>
      </c>
      <c r="AH54" s="9">
        <f t="shared" si="29"/>
        <v>0.52069400031599467</v>
      </c>
      <c r="AI54" s="9">
        <f t="shared" si="30"/>
        <v>0.13410275493596155</v>
      </c>
      <c r="AJ54" s="14"/>
      <c r="AK54" s="9">
        <f t="shared" si="31"/>
        <v>0</v>
      </c>
      <c r="AL54" s="15">
        <f t="shared" si="32"/>
        <v>6.9826499921001317E-2</v>
      </c>
      <c r="AM54" s="16"/>
      <c r="AN54" s="14"/>
      <c r="AO54" s="14"/>
      <c r="AP54" s="14"/>
      <c r="AQ54" s="14"/>
      <c r="AR54" s="14"/>
      <c r="AS54" s="14"/>
      <c r="AT54" s="14"/>
      <c r="AU54" s="14"/>
      <c r="AV54" s="14"/>
      <c r="AW54" s="15">
        <f t="shared" si="33"/>
        <v>3.2217947063550009E-2</v>
      </c>
    </row>
    <row r="55" spans="1:49" s="13" customFormat="1" x14ac:dyDescent="0.25">
      <c r="A55" s="13" t="s">
        <v>65</v>
      </c>
      <c r="B55" s="13" t="s">
        <v>76</v>
      </c>
      <c r="C55" s="33" t="s">
        <v>161</v>
      </c>
      <c r="D55" s="13" t="s">
        <v>141</v>
      </c>
      <c r="E55" s="9">
        <v>10.8</v>
      </c>
      <c r="F55" s="14">
        <v>7</v>
      </c>
      <c r="G55" s="18" t="s">
        <v>38</v>
      </c>
      <c r="H55" s="14">
        <f t="shared" si="19"/>
        <v>3.6459999999999999E-3</v>
      </c>
      <c r="I55" s="14">
        <v>18000</v>
      </c>
      <c r="J55" s="14">
        <v>1987</v>
      </c>
      <c r="K55" s="14">
        <f>(1041+880)*10</f>
        <v>19210</v>
      </c>
      <c r="L55" s="14">
        <v>2010</v>
      </c>
      <c r="M55" s="14"/>
      <c r="N55" s="14"/>
      <c r="O55" s="14">
        <v>1</v>
      </c>
      <c r="P55" s="10">
        <f t="shared" si="16"/>
        <v>19210</v>
      </c>
      <c r="Q55" s="14">
        <v>2</v>
      </c>
      <c r="R55" s="9">
        <f t="shared" si="20"/>
        <v>36.326729367171978</v>
      </c>
      <c r="S55" s="14">
        <v>1</v>
      </c>
      <c r="T55" s="9">
        <f t="shared" si="21"/>
        <v>1.1149393401731398</v>
      </c>
      <c r="U55" s="14">
        <f t="shared" si="17"/>
        <v>0</v>
      </c>
      <c r="V55" s="9">
        <f t="shared" si="22"/>
        <v>1</v>
      </c>
      <c r="W55" s="14" t="s">
        <v>43</v>
      </c>
      <c r="X55" s="9">
        <f t="shared" si="23"/>
        <v>1</v>
      </c>
      <c r="Y55" s="14">
        <v>10</v>
      </c>
      <c r="Z55" s="9">
        <f t="shared" si="24"/>
        <v>1</v>
      </c>
      <c r="AA55" s="17">
        <v>3</v>
      </c>
      <c r="AB55" s="9">
        <f t="shared" si="25"/>
        <v>1</v>
      </c>
      <c r="AC55" s="14">
        <v>4</v>
      </c>
      <c r="AD55" s="9">
        <f t="shared" si="26"/>
        <v>1.5128571268843947</v>
      </c>
      <c r="AE55" s="15">
        <f t="shared" si="27"/>
        <v>0.2234046034558452</v>
      </c>
      <c r="AF55" s="10">
        <f t="shared" si="28"/>
        <v>3.6575828912899038</v>
      </c>
      <c r="AG55" s="14">
        <v>5</v>
      </c>
      <c r="AH55" s="9">
        <f t="shared" si="29"/>
        <v>0.42247159943102275</v>
      </c>
      <c r="AI55" s="9">
        <f t="shared" si="30"/>
        <v>0.2234046034558452</v>
      </c>
      <c r="AJ55" s="14"/>
      <c r="AK55" s="9">
        <f t="shared" si="31"/>
        <v>0</v>
      </c>
      <c r="AL55" s="15">
        <f t="shared" si="32"/>
        <v>9.438210014224431E-2</v>
      </c>
      <c r="AM55" s="16"/>
      <c r="AN55" s="14"/>
      <c r="AO55" s="14"/>
      <c r="AP55" s="14"/>
      <c r="AQ55" s="14"/>
      <c r="AR55" s="14"/>
      <c r="AS55" s="14"/>
      <c r="AT55" s="14"/>
      <c r="AU55" s="14"/>
      <c r="AV55" s="14"/>
      <c r="AW55" s="15">
        <f t="shared" si="33"/>
        <v>2.754069682150689E-2</v>
      </c>
    </row>
    <row r="56" spans="1:49" s="13" customFormat="1" x14ac:dyDescent="0.25">
      <c r="A56" s="13" t="s">
        <v>65</v>
      </c>
      <c r="B56" s="13" t="s">
        <v>76</v>
      </c>
      <c r="C56" s="13" t="s">
        <v>134</v>
      </c>
      <c r="D56" s="13" t="s">
        <v>142</v>
      </c>
      <c r="E56" s="9">
        <v>1.1599999999999999</v>
      </c>
      <c r="F56" s="14">
        <v>3</v>
      </c>
      <c r="G56" s="18" t="s">
        <v>37</v>
      </c>
      <c r="H56" s="14">
        <f t="shared" si="19"/>
        <v>2.2680000000000001E-3</v>
      </c>
      <c r="I56" s="14">
        <v>750</v>
      </c>
      <c r="J56" s="14">
        <v>1987</v>
      </c>
      <c r="K56" s="14">
        <f>(43+85)*10</f>
        <v>1280</v>
      </c>
      <c r="L56" s="14">
        <v>2010</v>
      </c>
      <c r="M56" s="14"/>
      <c r="N56" s="14"/>
      <c r="O56" s="14">
        <v>1</v>
      </c>
      <c r="P56" s="10">
        <f t="shared" si="16"/>
        <v>1280</v>
      </c>
      <c r="Q56" s="14">
        <v>2</v>
      </c>
      <c r="R56" s="9">
        <f t="shared" si="20"/>
        <v>23.407504494847146</v>
      </c>
      <c r="S56" s="14">
        <v>1</v>
      </c>
      <c r="T56" s="9">
        <f t="shared" si="21"/>
        <v>1.2329380751384142</v>
      </c>
      <c r="U56" s="14">
        <f t="shared" si="17"/>
        <v>0</v>
      </c>
      <c r="V56" s="9">
        <f t="shared" si="22"/>
        <v>1</v>
      </c>
      <c r="W56" s="14" t="s">
        <v>43</v>
      </c>
      <c r="X56" s="9">
        <f t="shared" si="23"/>
        <v>1</v>
      </c>
      <c r="Y56" s="14">
        <v>10</v>
      </c>
      <c r="Z56" s="9">
        <f t="shared" si="24"/>
        <v>1.0800420763926004</v>
      </c>
      <c r="AA56" s="14">
        <v>5</v>
      </c>
      <c r="AB56" s="9">
        <f t="shared" si="25"/>
        <v>0.67032004603563933</v>
      </c>
      <c r="AC56" s="14">
        <v>2</v>
      </c>
      <c r="AD56" s="9">
        <f t="shared" si="26"/>
        <v>1</v>
      </c>
      <c r="AE56" s="15">
        <f t="shared" si="27"/>
        <v>4.7387337976722267E-2</v>
      </c>
      <c r="AF56" s="10">
        <f t="shared" si="28"/>
        <v>10.268275329992305</v>
      </c>
      <c r="AG56" s="14">
        <v>5</v>
      </c>
      <c r="AH56" s="9">
        <f t="shared" si="29"/>
        <v>0.67252358947325064</v>
      </c>
      <c r="AI56" s="9">
        <f t="shared" si="30"/>
        <v>4.7387337976722267E-2</v>
      </c>
      <c r="AJ56" s="14"/>
      <c r="AK56" s="9">
        <f t="shared" si="31"/>
        <v>0</v>
      </c>
      <c r="AL56" s="15">
        <f t="shared" si="32"/>
        <v>3.1869102631687345E-2</v>
      </c>
      <c r="AM56" s="16"/>
      <c r="AN56" s="14"/>
      <c r="AO56" s="14"/>
      <c r="AP56" s="14"/>
      <c r="AQ56" s="14"/>
      <c r="AR56" s="14"/>
      <c r="AS56" s="14"/>
      <c r="AT56" s="14"/>
      <c r="AU56" s="14"/>
      <c r="AV56" s="14"/>
      <c r="AW56" s="15">
        <f t="shared" si="33"/>
        <v>1.4701217043997373E-2</v>
      </c>
    </row>
    <row r="57" spans="1:49" s="13" customFormat="1" x14ac:dyDescent="0.25">
      <c r="A57" s="13" t="s">
        <v>65</v>
      </c>
      <c r="B57" s="13" t="s">
        <v>76</v>
      </c>
      <c r="C57" s="13" t="s">
        <v>135</v>
      </c>
      <c r="D57" s="13" t="s">
        <v>156</v>
      </c>
      <c r="E57" s="9">
        <v>3.05</v>
      </c>
      <c r="F57" s="14">
        <v>7</v>
      </c>
      <c r="G57" s="18" t="s">
        <v>38</v>
      </c>
      <c r="H57" s="14">
        <f t="shared" si="19"/>
        <v>3.6459999999999999E-3</v>
      </c>
      <c r="I57" s="14">
        <v>730</v>
      </c>
      <c r="J57" s="14">
        <v>1987</v>
      </c>
      <c r="K57" s="14">
        <f>(407+467)*10</f>
        <v>8740</v>
      </c>
      <c r="L57" s="14">
        <v>2010</v>
      </c>
      <c r="M57" s="14"/>
      <c r="N57" s="14"/>
      <c r="O57" s="14">
        <v>1</v>
      </c>
      <c r="P57" s="10">
        <f t="shared" si="16"/>
        <v>8740</v>
      </c>
      <c r="Q57" s="14">
        <v>2</v>
      </c>
      <c r="R57" s="9">
        <f t="shared" si="20"/>
        <v>28.78921303404702</v>
      </c>
      <c r="S57" s="14">
        <v>1</v>
      </c>
      <c r="T57" s="9">
        <f t="shared" si="21"/>
        <v>1.1149393401731398</v>
      </c>
      <c r="U57" s="14">
        <f t="shared" si="17"/>
        <v>0</v>
      </c>
      <c r="V57" s="9">
        <f t="shared" si="22"/>
        <v>1</v>
      </c>
      <c r="W57" s="14" t="s">
        <v>43</v>
      </c>
      <c r="X57" s="9">
        <f t="shared" si="23"/>
        <v>1</v>
      </c>
      <c r="Y57" s="14">
        <v>10</v>
      </c>
      <c r="Z57" s="9">
        <f t="shared" si="24"/>
        <v>1</v>
      </c>
      <c r="AA57" s="14">
        <v>6</v>
      </c>
      <c r="AB57" s="9">
        <f t="shared" si="25"/>
        <v>1</v>
      </c>
      <c r="AC57" s="14">
        <v>3</v>
      </c>
      <c r="AD57" s="9">
        <f t="shared" si="26"/>
        <v>1.3178478640273033</v>
      </c>
      <c r="AE57" s="15">
        <f t="shared" si="27"/>
        <v>0.15422791036322483</v>
      </c>
      <c r="AF57" s="10">
        <f t="shared" si="28"/>
        <v>4.8964903877313981</v>
      </c>
      <c r="AG57" s="14">
        <v>5</v>
      </c>
      <c r="AH57" s="9">
        <f t="shared" si="29"/>
        <v>0.4947703878742245</v>
      </c>
      <c r="AI57" s="9">
        <f t="shared" si="30"/>
        <v>0.15422791036322483</v>
      </c>
      <c r="AJ57" s="14">
        <v>1</v>
      </c>
      <c r="AK57" s="9">
        <f t="shared" si="31"/>
        <v>0.2</v>
      </c>
      <c r="AL57" s="15">
        <f t="shared" si="32"/>
        <v>0.17526148060628879</v>
      </c>
      <c r="AM57" s="16"/>
      <c r="AN57" s="14"/>
      <c r="AO57" s="14"/>
      <c r="AP57" s="14"/>
      <c r="AQ57" s="14"/>
      <c r="AR57" s="14"/>
      <c r="AS57" s="14"/>
      <c r="AT57" s="14"/>
      <c r="AU57" s="14"/>
      <c r="AV57" s="14"/>
      <c r="AW57" s="15">
        <f t="shared" si="33"/>
        <v>5.1141300040915071E-2</v>
      </c>
    </row>
    <row r="58" spans="1:49" s="13" customFormat="1" x14ac:dyDescent="0.25">
      <c r="A58" s="13" t="s">
        <v>65</v>
      </c>
      <c r="B58" s="13" t="s">
        <v>76</v>
      </c>
      <c r="C58" s="13" t="s">
        <v>136</v>
      </c>
      <c r="D58" s="13" t="s">
        <v>143</v>
      </c>
      <c r="E58" s="9">
        <v>3.95</v>
      </c>
      <c r="F58" s="14">
        <v>7</v>
      </c>
      <c r="G58" s="18" t="s">
        <v>38</v>
      </c>
      <c r="H58" s="14">
        <f t="shared" si="19"/>
        <v>3.6459999999999999E-3</v>
      </c>
      <c r="I58" s="14">
        <v>8700</v>
      </c>
      <c r="J58" s="14">
        <v>1987</v>
      </c>
      <c r="K58" s="14">
        <f>(530+347)*10</f>
        <v>8770</v>
      </c>
      <c r="L58" s="14">
        <v>2010</v>
      </c>
      <c r="M58" s="14"/>
      <c r="N58" s="14"/>
      <c r="O58" s="14">
        <v>1</v>
      </c>
      <c r="P58" s="10">
        <f t="shared" si="16"/>
        <v>8770</v>
      </c>
      <c r="Q58" s="14">
        <v>2</v>
      </c>
      <c r="R58" s="9">
        <f t="shared" si="20"/>
        <v>28.81835867107802</v>
      </c>
      <c r="S58" s="14">
        <v>1</v>
      </c>
      <c r="T58" s="9">
        <f t="shared" si="21"/>
        <v>1.1149393401731398</v>
      </c>
      <c r="U58" s="14">
        <f t="shared" si="17"/>
        <v>0</v>
      </c>
      <c r="V58" s="9">
        <f t="shared" si="22"/>
        <v>1</v>
      </c>
      <c r="W58" s="14" t="s">
        <v>43</v>
      </c>
      <c r="X58" s="9">
        <f t="shared" si="23"/>
        <v>1</v>
      </c>
      <c r="Y58" s="14">
        <v>10</v>
      </c>
      <c r="Z58" s="9">
        <f t="shared" si="24"/>
        <v>1</v>
      </c>
      <c r="AA58" s="14">
        <v>5</v>
      </c>
      <c r="AB58" s="9">
        <f t="shared" si="25"/>
        <v>1</v>
      </c>
      <c r="AC58" s="14">
        <v>3</v>
      </c>
      <c r="AD58" s="9">
        <f t="shared" si="26"/>
        <v>1.3178478640273033</v>
      </c>
      <c r="AE58" s="15">
        <f t="shared" si="27"/>
        <v>0.1543840476876519</v>
      </c>
      <c r="AF58" s="10">
        <f t="shared" si="28"/>
        <v>4.892749758671191</v>
      </c>
      <c r="AG58" s="14">
        <v>5</v>
      </c>
      <c r="AH58" s="9">
        <f t="shared" si="29"/>
        <v>0.49457935134592879</v>
      </c>
      <c r="AI58" s="9">
        <f t="shared" si="30"/>
        <v>0.1543840476876519</v>
      </c>
      <c r="AJ58" s="14"/>
      <c r="AK58" s="9">
        <f t="shared" si="31"/>
        <v>0</v>
      </c>
      <c r="AL58" s="15">
        <f t="shared" si="32"/>
        <v>7.6355162163517815E-2</v>
      </c>
      <c r="AM58" s="16"/>
      <c r="AN58" s="14"/>
      <c r="AO58" s="14"/>
      <c r="AP58" s="14"/>
      <c r="AQ58" s="14"/>
      <c r="AR58" s="14"/>
      <c r="AS58" s="14"/>
      <c r="AT58" s="14"/>
      <c r="AU58" s="14"/>
      <c r="AV58" s="14"/>
      <c r="AW58" s="15">
        <f t="shared" si="33"/>
        <v>2.2280436319314499E-2</v>
      </c>
    </row>
    <row r="59" spans="1:49" s="13" customFormat="1" x14ac:dyDescent="0.25">
      <c r="A59" s="13" t="s">
        <v>65</v>
      </c>
      <c r="B59" s="13" t="s">
        <v>76</v>
      </c>
      <c r="C59" s="13" t="s">
        <v>137</v>
      </c>
      <c r="D59" s="13" t="s">
        <v>147</v>
      </c>
      <c r="E59" s="9">
        <v>5.73</v>
      </c>
      <c r="F59" s="14">
        <v>7</v>
      </c>
      <c r="G59" s="18" t="s">
        <v>38</v>
      </c>
      <c r="H59" s="14">
        <f t="shared" si="19"/>
        <v>3.6459999999999999E-3</v>
      </c>
      <c r="I59" s="14">
        <v>9000</v>
      </c>
      <c r="J59" s="14">
        <v>1987</v>
      </c>
      <c r="K59" s="14">
        <f>(1343+580)*10</f>
        <v>19230</v>
      </c>
      <c r="L59" s="14">
        <v>2010</v>
      </c>
      <c r="M59" s="14"/>
      <c r="N59" s="14"/>
      <c r="O59" s="14">
        <v>1</v>
      </c>
      <c r="P59" s="10">
        <f t="shared" si="16"/>
        <v>19230</v>
      </c>
      <c r="Q59" s="14">
        <v>2</v>
      </c>
      <c r="R59" s="9">
        <f t="shared" si="20"/>
        <v>36.337893650887786</v>
      </c>
      <c r="S59" s="14">
        <v>1</v>
      </c>
      <c r="T59" s="9">
        <f t="shared" si="21"/>
        <v>1.1149393401731398</v>
      </c>
      <c r="U59" s="14">
        <f t="shared" si="17"/>
        <v>0</v>
      </c>
      <c r="V59" s="9">
        <f t="shared" si="22"/>
        <v>1</v>
      </c>
      <c r="W59" s="14" t="s">
        <v>43</v>
      </c>
      <c r="X59" s="9">
        <f t="shared" si="23"/>
        <v>1</v>
      </c>
      <c r="Y59" s="14">
        <v>10</v>
      </c>
      <c r="Z59" s="9">
        <f t="shared" si="24"/>
        <v>1</v>
      </c>
      <c r="AA59" s="14">
        <v>6</v>
      </c>
      <c r="AB59" s="9">
        <f t="shared" si="25"/>
        <v>1</v>
      </c>
      <c r="AC59" s="14">
        <v>5</v>
      </c>
      <c r="AD59" s="9">
        <f t="shared" si="26"/>
        <v>1.7367229927213259</v>
      </c>
      <c r="AE59" s="15">
        <f t="shared" si="27"/>
        <v>0.2565418412959955</v>
      </c>
      <c r="AF59" s="10">
        <f t="shared" si="28"/>
        <v>3.2621974076106768</v>
      </c>
      <c r="AG59" s="14">
        <v>5</v>
      </c>
      <c r="AH59" s="9">
        <f t="shared" si="29"/>
        <v>0.39483411575299837</v>
      </c>
      <c r="AI59" s="9">
        <f t="shared" si="30"/>
        <v>0.2565418412959955</v>
      </c>
      <c r="AJ59" s="14"/>
      <c r="AK59" s="9">
        <f t="shared" si="31"/>
        <v>0</v>
      </c>
      <c r="AL59" s="15">
        <f t="shared" si="32"/>
        <v>0.10129147106175042</v>
      </c>
      <c r="AM59" s="16"/>
      <c r="AN59" s="14"/>
      <c r="AO59" s="14"/>
      <c r="AP59" s="14"/>
      <c r="AQ59" s="14"/>
      <c r="AR59" s="14"/>
      <c r="AS59" s="14"/>
      <c r="AT59" s="14"/>
      <c r="AU59" s="14"/>
      <c r="AV59" s="14"/>
      <c r="AW59" s="15">
        <f t="shared" si="33"/>
        <v>2.9556851255818771E-2</v>
      </c>
    </row>
    <row r="60" spans="1:49" s="13" customFormat="1" x14ac:dyDescent="0.25">
      <c r="A60" s="13" t="s">
        <v>65</v>
      </c>
      <c r="B60" s="13" t="s">
        <v>76</v>
      </c>
      <c r="C60" s="13" t="s">
        <v>138</v>
      </c>
      <c r="D60" s="13" t="s">
        <v>144</v>
      </c>
      <c r="E60" s="9">
        <v>7.59</v>
      </c>
      <c r="F60" s="14">
        <v>8</v>
      </c>
      <c r="G60" s="18" t="s">
        <v>39</v>
      </c>
      <c r="H60" s="14">
        <f t="shared" si="19"/>
        <v>1.088E-3</v>
      </c>
      <c r="I60" s="14">
        <v>6970</v>
      </c>
      <c r="J60" s="14">
        <v>1987</v>
      </c>
      <c r="K60" s="14">
        <f>(670+795)*10</f>
        <v>14650</v>
      </c>
      <c r="L60" s="14">
        <v>2010</v>
      </c>
      <c r="M60" s="14"/>
      <c r="N60" s="14"/>
      <c r="O60" s="14">
        <v>1</v>
      </c>
      <c r="P60" s="10">
        <f t="shared" si="16"/>
        <v>14650</v>
      </c>
      <c r="Q60" s="14">
        <v>2</v>
      </c>
      <c r="R60" s="9">
        <f t="shared" si="20"/>
        <v>40.707640226874283</v>
      </c>
      <c r="S60" s="14">
        <v>1</v>
      </c>
      <c r="T60" s="9">
        <f t="shared" si="21"/>
        <v>1.3380321636239008</v>
      </c>
      <c r="U60" s="14">
        <f t="shared" si="17"/>
        <v>0</v>
      </c>
      <c r="V60" s="9">
        <f t="shared" si="22"/>
        <v>1</v>
      </c>
      <c r="W60" s="14" t="s">
        <v>43</v>
      </c>
      <c r="X60" s="9">
        <f t="shared" si="23"/>
        <v>1</v>
      </c>
      <c r="Y60" s="14">
        <v>10</v>
      </c>
      <c r="Z60" s="9">
        <f t="shared" si="24"/>
        <v>1</v>
      </c>
      <c r="AA60" s="14">
        <v>4</v>
      </c>
      <c r="AB60" s="9">
        <f t="shared" si="25"/>
        <v>1</v>
      </c>
      <c r="AC60" s="14">
        <v>3</v>
      </c>
      <c r="AD60" s="9">
        <f t="shared" si="26"/>
        <v>1.2302285928964003</v>
      </c>
      <c r="AE60" s="15">
        <f t="shared" si="27"/>
        <v>7.2904979590887736E-2</v>
      </c>
      <c r="AF60" s="10">
        <f t="shared" si="28"/>
        <v>8.1363668366301134</v>
      </c>
      <c r="AG60" s="14">
        <v>5</v>
      </c>
      <c r="AH60" s="9">
        <f t="shared" si="29"/>
        <v>0.61937725535665267</v>
      </c>
      <c r="AI60" s="9">
        <f t="shared" si="30"/>
        <v>7.2904979590887736E-2</v>
      </c>
      <c r="AJ60" s="14"/>
      <c r="AK60" s="9">
        <f t="shared" si="31"/>
        <v>0</v>
      </c>
      <c r="AL60" s="15">
        <f t="shared" si="32"/>
        <v>4.5155686160836823E-2</v>
      </c>
      <c r="AM60" s="16"/>
      <c r="AN60" s="14"/>
      <c r="AO60" s="14"/>
      <c r="AP60" s="14"/>
      <c r="AQ60" s="14"/>
      <c r="AR60" s="14"/>
      <c r="AS60" s="14"/>
      <c r="AT60" s="14"/>
      <c r="AU60" s="14"/>
      <c r="AV60" s="14"/>
      <c r="AW60" s="15">
        <f t="shared" si="33"/>
        <v>2.0834833594610108E-2</v>
      </c>
    </row>
    <row r="61" spans="1:49" s="13" customFormat="1" x14ac:dyDescent="0.25">
      <c r="A61" s="13" t="s">
        <v>67</v>
      </c>
      <c r="B61" s="13" t="s">
        <v>75</v>
      </c>
      <c r="C61" s="13" t="str">
        <f t="shared" ref="C61:G70" si="34">C33</f>
        <v>085714A</v>
      </c>
      <c r="D61" s="13" t="str">
        <f t="shared" si="34"/>
        <v>E "D" St</v>
      </c>
      <c r="E61" s="9">
        <f t="shared" si="34"/>
        <v>39.64</v>
      </c>
      <c r="F61" s="14">
        <f t="shared" si="34"/>
        <v>8</v>
      </c>
      <c r="G61" s="18" t="str">
        <f t="shared" si="34"/>
        <v>Gates</v>
      </c>
      <c r="H61" s="14">
        <f t="shared" si="19"/>
        <v>1.088E-3</v>
      </c>
      <c r="I61" s="14">
        <v>5620</v>
      </c>
      <c r="J61" s="14"/>
      <c r="K61" s="14"/>
      <c r="L61" s="14"/>
      <c r="M61" s="14"/>
      <c r="N61" s="14"/>
      <c r="O61" s="9">
        <v>1.0676156583629892</v>
      </c>
      <c r="P61" s="10">
        <f t="shared" ref="P61:P67" si="35">I61*O61</f>
        <v>5999.9999999999991</v>
      </c>
      <c r="Q61" s="14">
        <v>72</v>
      </c>
      <c r="R61" s="9">
        <f t="shared" si="20"/>
        <v>94.149030344561496</v>
      </c>
      <c r="S61" s="14">
        <f t="shared" ref="S61:S67" si="36">S33</f>
        <v>2</v>
      </c>
      <c r="T61" s="9">
        <f t="shared" si="21"/>
        <v>1.7903300708920569</v>
      </c>
      <c r="U61" s="14">
        <f t="shared" ref="U61:U88" si="37">U33+Q61-Q33</f>
        <v>59</v>
      </c>
      <c r="V61" s="9">
        <f t="shared" si="22"/>
        <v>1</v>
      </c>
      <c r="W61" s="14" t="s">
        <v>43</v>
      </c>
      <c r="X61" s="9">
        <f t="shared" si="23"/>
        <v>1</v>
      </c>
      <c r="Y61" s="14"/>
      <c r="Z61" s="9">
        <f t="shared" si="24"/>
        <v>1</v>
      </c>
      <c r="AA61" s="14"/>
      <c r="AB61" s="9">
        <f t="shared" si="25"/>
        <v>1</v>
      </c>
      <c r="AC61" s="14">
        <f t="shared" ref="AC61:AC69" si="38">AC33</f>
        <v>5</v>
      </c>
      <c r="AD61" s="9">
        <f t="shared" si="26"/>
        <v>1.5134623907798572</v>
      </c>
      <c r="AE61" s="15">
        <f t="shared" si="27"/>
        <v>0.27755527552596582</v>
      </c>
      <c r="AF61" s="10">
        <f t="shared" si="28"/>
        <v>3.0529198419847416</v>
      </c>
      <c r="AG61" s="14">
        <v>5</v>
      </c>
      <c r="AH61" s="9">
        <f t="shared" si="29"/>
        <v>0.3791071936501868</v>
      </c>
      <c r="AI61" s="9">
        <f t="shared" si="30"/>
        <v>0.27755527552596582</v>
      </c>
      <c r="AJ61" s="10"/>
      <c r="AK61" s="9">
        <f t="shared" si="31"/>
        <v>0</v>
      </c>
      <c r="AL61" s="15">
        <f t="shared" si="32"/>
        <v>0.10522320158745328</v>
      </c>
      <c r="AM61" s="16"/>
      <c r="AN61" s="14"/>
      <c r="AO61" s="14"/>
      <c r="AP61" s="14"/>
      <c r="AQ61" s="14"/>
      <c r="AR61" s="14"/>
      <c r="AS61" s="14"/>
      <c r="AT61" s="14"/>
      <c r="AU61" s="14"/>
      <c r="AV61" s="14"/>
      <c r="AW61" s="15">
        <f t="shared" si="33"/>
        <v>4.8549985212450943E-2</v>
      </c>
    </row>
    <row r="62" spans="1:49" s="13" customFormat="1" x14ac:dyDescent="0.25">
      <c r="A62" s="13" t="s">
        <v>67</v>
      </c>
      <c r="B62" s="13" t="s">
        <v>75</v>
      </c>
      <c r="C62" s="13" t="str">
        <f t="shared" si="34"/>
        <v>085730J</v>
      </c>
      <c r="D62" s="13" t="str">
        <f t="shared" si="34"/>
        <v>McCarver</v>
      </c>
      <c r="E62" s="9">
        <f t="shared" si="34"/>
        <v>2.69</v>
      </c>
      <c r="F62" s="14">
        <f t="shared" si="34"/>
        <v>8</v>
      </c>
      <c r="G62" s="18" t="str">
        <f t="shared" si="34"/>
        <v>Gates</v>
      </c>
      <c r="H62" s="14">
        <f t="shared" si="19"/>
        <v>1.088E-3</v>
      </c>
      <c r="I62" s="14">
        <v>4240</v>
      </c>
      <c r="J62" s="14"/>
      <c r="K62" s="14"/>
      <c r="L62" s="14"/>
      <c r="M62" s="14"/>
      <c r="N62" s="14"/>
      <c r="O62" s="9">
        <v>1.0613207547169812</v>
      </c>
      <c r="P62" s="10">
        <f t="shared" si="35"/>
        <v>4500</v>
      </c>
      <c r="Q62" s="14">
        <v>72</v>
      </c>
      <c r="R62" s="9">
        <f t="shared" si="20"/>
        <v>86.076571837434273</v>
      </c>
      <c r="S62" s="14">
        <f t="shared" si="36"/>
        <v>2</v>
      </c>
      <c r="T62" s="9">
        <f t="shared" si="21"/>
        <v>1.7903300708920569</v>
      </c>
      <c r="U62" s="14">
        <f t="shared" si="37"/>
        <v>59</v>
      </c>
      <c r="V62" s="9">
        <f t="shared" si="22"/>
        <v>1</v>
      </c>
      <c r="W62" s="14" t="s">
        <v>43</v>
      </c>
      <c r="X62" s="9">
        <f t="shared" si="23"/>
        <v>1</v>
      </c>
      <c r="Y62" s="14"/>
      <c r="Z62" s="9">
        <f t="shared" si="24"/>
        <v>1</v>
      </c>
      <c r="AA62" s="14"/>
      <c r="AB62" s="9">
        <f t="shared" si="25"/>
        <v>1</v>
      </c>
      <c r="AC62" s="14">
        <f t="shared" si="38"/>
        <v>2</v>
      </c>
      <c r="AD62" s="9">
        <f t="shared" si="26"/>
        <v>1.1091567034898182</v>
      </c>
      <c r="AE62" s="15">
        <f t="shared" si="27"/>
        <v>0.18596870720867631</v>
      </c>
      <c r="AF62" s="10">
        <f t="shared" si="28"/>
        <v>4.237850059989781</v>
      </c>
      <c r="AG62" s="14">
        <v>5</v>
      </c>
      <c r="AH62" s="9">
        <f t="shared" si="29"/>
        <v>0.45874852183890813</v>
      </c>
      <c r="AI62" s="9">
        <f t="shared" si="30"/>
        <v>0.18596870720867631</v>
      </c>
      <c r="AJ62" s="10"/>
      <c r="AK62" s="9">
        <f t="shared" si="31"/>
        <v>0</v>
      </c>
      <c r="AL62" s="15">
        <f t="shared" si="32"/>
        <v>8.5312869540272951E-2</v>
      </c>
      <c r="AM62" s="16"/>
      <c r="AN62" s="14"/>
      <c r="AO62" s="14"/>
      <c r="AP62" s="14"/>
      <c r="AQ62" s="14"/>
      <c r="AR62" s="14"/>
      <c r="AS62" s="14"/>
      <c r="AT62" s="14"/>
      <c r="AU62" s="14"/>
      <c r="AV62" s="14"/>
      <c r="AW62" s="15">
        <f t="shared" si="33"/>
        <v>3.9363358005881935E-2</v>
      </c>
    </row>
    <row r="63" spans="1:49" s="13" customFormat="1" x14ac:dyDescent="0.25">
      <c r="A63" s="13" t="s">
        <v>67</v>
      </c>
      <c r="B63" s="13" t="s">
        <v>75</v>
      </c>
      <c r="C63" s="13" t="str">
        <f t="shared" si="34"/>
        <v>085742D</v>
      </c>
      <c r="D63" s="13" t="str">
        <f t="shared" si="34"/>
        <v>6th Ave</v>
      </c>
      <c r="E63" s="9">
        <f t="shared" si="34"/>
        <v>9.75</v>
      </c>
      <c r="F63" s="14">
        <f t="shared" si="34"/>
        <v>8</v>
      </c>
      <c r="G63" s="18" t="str">
        <f t="shared" si="34"/>
        <v>Gates</v>
      </c>
      <c r="H63" s="14">
        <f t="shared" si="19"/>
        <v>1.088E-3</v>
      </c>
      <c r="I63" s="14">
        <v>1921</v>
      </c>
      <c r="J63" s="14"/>
      <c r="K63" s="14"/>
      <c r="L63" s="14"/>
      <c r="M63" s="14"/>
      <c r="N63" s="14"/>
      <c r="O63" s="9">
        <v>1.0411244143675169</v>
      </c>
      <c r="P63" s="10">
        <f t="shared" si="35"/>
        <v>2000</v>
      </c>
      <c r="Q63" s="14">
        <v>72</v>
      </c>
      <c r="R63" s="9">
        <f t="shared" si="20"/>
        <v>66.856708855965209</v>
      </c>
      <c r="S63" s="14">
        <f t="shared" si="36"/>
        <v>2</v>
      </c>
      <c r="T63" s="9">
        <f t="shared" si="21"/>
        <v>1.7903300708920569</v>
      </c>
      <c r="U63" s="14">
        <f t="shared" si="37"/>
        <v>50</v>
      </c>
      <c r="V63" s="9">
        <f t="shared" si="22"/>
        <v>1</v>
      </c>
      <c r="W63" s="14" t="s">
        <v>43</v>
      </c>
      <c r="X63" s="9">
        <f t="shared" si="23"/>
        <v>1</v>
      </c>
      <c r="Y63" s="14"/>
      <c r="Z63" s="9">
        <f t="shared" si="24"/>
        <v>1</v>
      </c>
      <c r="AA63" s="14"/>
      <c r="AB63" s="9">
        <f t="shared" si="25"/>
        <v>1</v>
      </c>
      <c r="AC63" s="14">
        <f t="shared" si="38"/>
        <v>2</v>
      </c>
      <c r="AD63" s="9">
        <f t="shared" si="26"/>
        <v>1.1091567034898182</v>
      </c>
      <c r="AE63" s="15">
        <f t="shared" si="27"/>
        <v>0.14444413211125992</v>
      </c>
      <c r="AF63" s="10">
        <f t="shared" si="28"/>
        <v>5.1428654037644348</v>
      </c>
      <c r="AG63" s="14">
        <v>5</v>
      </c>
      <c r="AH63" s="9">
        <f t="shared" si="29"/>
        <v>0.50704265501302082</v>
      </c>
      <c r="AI63" s="9">
        <f t="shared" si="30"/>
        <v>0.14444413211125992</v>
      </c>
      <c r="AJ63" s="10"/>
      <c r="AK63" s="9">
        <f t="shared" si="31"/>
        <v>0</v>
      </c>
      <c r="AL63" s="15">
        <f t="shared" si="32"/>
        <v>7.3239336246744766E-2</v>
      </c>
      <c r="AM63" s="16"/>
      <c r="AN63" s="14"/>
      <c r="AO63" s="14"/>
      <c r="AP63" s="14"/>
      <c r="AQ63" s="14"/>
      <c r="AR63" s="14"/>
      <c r="AS63" s="14"/>
      <c r="AT63" s="14"/>
      <c r="AU63" s="14"/>
      <c r="AV63" s="14"/>
      <c r="AW63" s="15">
        <f t="shared" si="33"/>
        <v>3.3792629744248036E-2</v>
      </c>
    </row>
    <row r="64" spans="1:49" s="13" customFormat="1" x14ac:dyDescent="0.25">
      <c r="A64" s="13" t="s">
        <v>67</v>
      </c>
      <c r="B64" s="13" t="s">
        <v>75</v>
      </c>
      <c r="C64" s="13" t="str">
        <f t="shared" si="34"/>
        <v>085743K</v>
      </c>
      <c r="D64" s="13" t="str">
        <f t="shared" si="34"/>
        <v>S 19th St</v>
      </c>
      <c r="E64" s="9">
        <f t="shared" si="34"/>
        <v>10.06</v>
      </c>
      <c r="F64" s="14">
        <f t="shared" si="34"/>
        <v>8</v>
      </c>
      <c r="G64" s="18" t="str">
        <f t="shared" si="34"/>
        <v>Gates</v>
      </c>
      <c r="H64" s="14">
        <f t="shared" si="19"/>
        <v>1.088E-3</v>
      </c>
      <c r="I64" s="14">
        <v>7094</v>
      </c>
      <c r="J64" s="14"/>
      <c r="K64" s="14"/>
      <c r="L64" s="14"/>
      <c r="M64" s="14"/>
      <c r="N64" s="14"/>
      <c r="O64" s="9">
        <v>1.0008457851705668</v>
      </c>
      <c r="P64" s="10">
        <f t="shared" si="35"/>
        <v>7100.0000000000009</v>
      </c>
      <c r="Q64" s="14">
        <v>72</v>
      </c>
      <c r="R64" s="9">
        <f t="shared" si="20"/>
        <v>99.219266853839059</v>
      </c>
      <c r="S64" s="14">
        <f t="shared" si="36"/>
        <v>2</v>
      </c>
      <c r="T64" s="9">
        <f t="shared" si="21"/>
        <v>1.7903300708920569</v>
      </c>
      <c r="U64" s="14">
        <f t="shared" si="37"/>
        <v>50</v>
      </c>
      <c r="V64" s="9">
        <f t="shared" si="22"/>
        <v>1</v>
      </c>
      <c r="W64" s="14" t="s">
        <v>43</v>
      </c>
      <c r="X64" s="9">
        <f t="shared" si="23"/>
        <v>1</v>
      </c>
      <c r="Y64" s="14"/>
      <c r="Z64" s="9">
        <f t="shared" si="24"/>
        <v>1</v>
      </c>
      <c r="AA64" s="14"/>
      <c r="AB64" s="9">
        <f t="shared" si="25"/>
        <v>1</v>
      </c>
      <c r="AC64" s="14">
        <f t="shared" si="38"/>
        <v>2</v>
      </c>
      <c r="AD64" s="9">
        <f t="shared" si="26"/>
        <v>1.1091567034898182</v>
      </c>
      <c r="AE64" s="15">
        <f t="shared" si="27"/>
        <v>0.21436354159003085</v>
      </c>
      <c r="AF64" s="10">
        <f t="shared" si="28"/>
        <v>3.7826698567640542</v>
      </c>
      <c r="AG64" s="14">
        <v>5</v>
      </c>
      <c r="AH64" s="9">
        <f t="shared" si="29"/>
        <v>0.4306970338695808</v>
      </c>
      <c r="AI64" s="9">
        <f t="shared" si="30"/>
        <v>0.21436354159003085</v>
      </c>
      <c r="AJ64" s="14"/>
      <c r="AK64" s="9">
        <f t="shared" si="31"/>
        <v>0</v>
      </c>
      <c r="AL64" s="15">
        <f t="shared" si="32"/>
        <v>9.232574153260481E-2</v>
      </c>
      <c r="AM64" s="16"/>
      <c r="AN64" s="14"/>
      <c r="AO64" s="14"/>
      <c r="AP64" s="14"/>
      <c r="AQ64" s="14"/>
      <c r="AR64" s="14"/>
      <c r="AS64" s="14"/>
      <c r="AT64" s="14"/>
      <c r="AU64" s="14"/>
      <c r="AV64" s="14"/>
      <c r="AW64" s="15">
        <f t="shared" si="33"/>
        <v>4.259909714314386E-2</v>
      </c>
    </row>
    <row r="65" spans="1:49" s="13" customFormat="1" x14ac:dyDescent="0.25">
      <c r="A65" s="13" t="s">
        <v>67</v>
      </c>
      <c r="B65" s="13" t="s">
        <v>75</v>
      </c>
      <c r="C65" s="13" t="str">
        <f t="shared" si="34"/>
        <v>085754X</v>
      </c>
      <c r="D65" s="13" t="str">
        <f t="shared" si="34"/>
        <v>Sunnyside Beach Ped</v>
      </c>
      <c r="E65" s="9">
        <f t="shared" si="34"/>
        <v>14.94</v>
      </c>
      <c r="F65" s="14">
        <f t="shared" si="34"/>
        <v>7</v>
      </c>
      <c r="G65" s="18" t="str">
        <f t="shared" si="34"/>
        <v>Lights</v>
      </c>
      <c r="H65" s="14">
        <f t="shared" si="19"/>
        <v>3.6459999999999999E-3</v>
      </c>
      <c r="I65" s="6">
        <v>200</v>
      </c>
      <c r="J65" s="14"/>
      <c r="K65" s="14"/>
      <c r="L65" s="14"/>
      <c r="M65" s="14"/>
      <c r="N65" s="14"/>
      <c r="O65" s="9">
        <v>1.1000000000000001</v>
      </c>
      <c r="P65" s="10">
        <f t="shared" si="35"/>
        <v>220.00000000000003</v>
      </c>
      <c r="Q65" s="14">
        <v>72</v>
      </c>
      <c r="R65" s="9">
        <f t="shared" si="20"/>
        <v>27.963734197491394</v>
      </c>
      <c r="S65" s="14">
        <f t="shared" si="36"/>
        <v>2</v>
      </c>
      <c r="T65" s="9">
        <f t="shared" si="21"/>
        <v>1.2430897322657162</v>
      </c>
      <c r="U65" s="14">
        <f t="shared" si="37"/>
        <v>50</v>
      </c>
      <c r="V65" s="9">
        <f t="shared" si="22"/>
        <v>1.2965362534247555</v>
      </c>
      <c r="W65" s="6" t="s">
        <v>43</v>
      </c>
      <c r="X65" s="9">
        <f t="shared" si="23"/>
        <v>1</v>
      </c>
      <c r="Y65" s="14"/>
      <c r="Z65" s="9">
        <f t="shared" si="24"/>
        <v>1</v>
      </c>
      <c r="AA65" s="14"/>
      <c r="AB65" s="9">
        <f t="shared" si="25"/>
        <v>1</v>
      </c>
      <c r="AC65" s="14">
        <f t="shared" si="38"/>
        <v>1</v>
      </c>
      <c r="AD65" s="9">
        <f t="shared" si="26"/>
        <v>1</v>
      </c>
      <c r="AE65" s="15">
        <f t="shared" si="27"/>
        <v>0.1643232341209348</v>
      </c>
      <c r="AF65" s="10">
        <f t="shared" si="28"/>
        <v>4.6658497110758255</v>
      </c>
      <c r="AG65" s="14">
        <v>5</v>
      </c>
      <c r="AH65" s="9">
        <f t="shared" si="29"/>
        <v>0.48271490355673125</v>
      </c>
      <c r="AI65" s="9">
        <f t="shared" si="30"/>
        <v>0.1643232341209348</v>
      </c>
      <c r="AJ65" s="14">
        <v>1</v>
      </c>
      <c r="AK65" s="9">
        <f t="shared" si="31"/>
        <v>0.2</v>
      </c>
      <c r="AL65" s="15">
        <f t="shared" si="32"/>
        <v>0.17586425482216347</v>
      </c>
      <c r="AM65" s="16"/>
      <c r="AN65" s="14"/>
      <c r="AO65" s="14"/>
      <c r="AP65" s="14"/>
      <c r="AQ65" s="14"/>
      <c r="AR65" s="14"/>
      <c r="AS65" s="14"/>
      <c r="AT65" s="14"/>
      <c r="AU65" s="14"/>
      <c r="AV65" s="14"/>
      <c r="AW65" s="15">
        <f t="shared" si="33"/>
        <v>5.1317189557107304E-2</v>
      </c>
    </row>
    <row r="66" spans="1:49" s="13" customFormat="1" x14ac:dyDescent="0.25">
      <c r="A66" s="13" t="s">
        <v>67</v>
      </c>
      <c r="B66" s="13" t="s">
        <v>75</v>
      </c>
      <c r="C66" s="13" t="str">
        <f t="shared" si="34"/>
        <v>085755E</v>
      </c>
      <c r="D66" s="13" t="str">
        <f t="shared" si="34"/>
        <v>Steilacoom/Union Ferry Terminal</v>
      </c>
      <c r="E66" s="9">
        <f t="shared" si="34"/>
        <v>15.72</v>
      </c>
      <c r="F66" s="14">
        <f t="shared" si="34"/>
        <v>8</v>
      </c>
      <c r="G66" s="18" t="str">
        <f t="shared" si="34"/>
        <v>Gates</v>
      </c>
      <c r="H66" s="14">
        <f t="shared" si="19"/>
        <v>1.088E-3</v>
      </c>
      <c r="I66" s="14">
        <v>14498</v>
      </c>
      <c r="J66" s="14"/>
      <c r="K66" s="14"/>
      <c r="L66" s="14"/>
      <c r="M66" s="14"/>
      <c r="N66" s="14"/>
      <c r="O66" s="9">
        <v>1.1000000000000001</v>
      </c>
      <c r="P66" s="10">
        <f t="shared" si="35"/>
        <v>15947.800000000001</v>
      </c>
      <c r="Q66" s="14">
        <v>72</v>
      </c>
      <c r="R66" s="9">
        <f t="shared" si="20"/>
        <v>127.67487638319797</v>
      </c>
      <c r="S66" s="14">
        <f t="shared" si="36"/>
        <v>2</v>
      </c>
      <c r="T66" s="9">
        <f t="shared" si="21"/>
        <v>1.7903300708920569</v>
      </c>
      <c r="U66" s="14">
        <f t="shared" si="37"/>
        <v>50</v>
      </c>
      <c r="V66" s="9">
        <f t="shared" si="22"/>
        <v>1</v>
      </c>
      <c r="W66" s="14" t="s">
        <v>43</v>
      </c>
      <c r="X66" s="9">
        <f t="shared" si="23"/>
        <v>1</v>
      </c>
      <c r="Y66" s="14"/>
      <c r="Z66" s="9">
        <f t="shared" si="24"/>
        <v>1</v>
      </c>
      <c r="AA66" s="14"/>
      <c r="AB66" s="9">
        <f t="shared" si="25"/>
        <v>1</v>
      </c>
      <c r="AC66" s="14">
        <f t="shared" si="38"/>
        <v>1</v>
      </c>
      <c r="AD66" s="9">
        <f t="shared" si="26"/>
        <v>1</v>
      </c>
      <c r="AE66" s="15">
        <f t="shared" si="27"/>
        <v>0.24869522548905676</v>
      </c>
      <c r="AF66" s="10">
        <f t="shared" si="28"/>
        <v>3.3478941565359466</v>
      </c>
      <c r="AG66" s="14">
        <v>5</v>
      </c>
      <c r="AH66" s="9">
        <f t="shared" si="29"/>
        <v>0.40104655063393774</v>
      </c>
      <c r="AI66" s="9">
        <f t="shared" si="30"/>
        <v>0.24869522548905676</v>
      </c>
      <c r="AJ66" s="14">
        <v>1</v>
      </c>
      <c r="AK66" s="9">
        <f t="shared" si="31"/>
        <v>0.2</v>
      </c>
      <c r="AL66" s="15">
        <f t="shared" si="32"/>
        <v>0.17994767246830312</v>
      </c>
      <c r="AM66" s="16"/>
      <c r="AN66" s="14"/>
      <c r="AO66" s="14"/>
      <c r="AP66" s="14"/>
      <c r="AQ66" s="14"/>
      <c r="AR66" s="14"/>
      <c r="AS66" s="14"/>
      <c r="AT66" s="14"/>
      <c r="AU66" s="14"/>
      <c r="AV66" s="14"/>
      <c r="AW66" s="15">
        <f t="shared" si="33"/>
        <v>8.3027856076875059E-2</v>
      </c>
    </row>
    <row r="67" spans="1:49" s="13" customFormat="1" x14ac:dyDescent="0.25">
      <c r="A67" s="13" t="s">
        <v>67</v>
      </c>
      <c r="B67" s="13" t="s">
        <v>75</v>
      </c>
      <c r="C67" s="13" t="str">
        <f t="shared" si="34"/>
        <v>085758A</v>
      </c>
      <c r="D67" s="13" t="str">
        <f t="shared" si="34"/>
        <v>Solo Point Road</v>
      </c>
      <c r="E67" s="9">
        <f t="shared" si="34"/>
        <v>18.579999999999998</v>
      </c>
      <c r="F67" s="14">
        <f t="shared" si="34"/>
        <v>8</v>
      </c>
      <c r="G67" s="18" t="str">
        <f t="shared" si="34"/>
        <v>Gates</v>
      </c>
      <c r="H67" s="14">
        <f t="shared" si="19"/>
        <v>1.088E-3</v>
      </c>
      <c r="I67" s="14">
        <v>10</v>
      </c>
      <c r="J67" s="14"/>
      <c r="K67" s="14"/>
      <c r="L67" s="14"/>
      <c r="M67" s="14"/>
      <c r="N67" s="14"/>
      <c r="O67" s="9">
        <v>1</v>
      </c>
      <c r="P67" s="10">
        <f t="shared" si="35"/>
        <v>10</v>
      </c>
      <c r="Q67" s="14">
        <v>72</v>
      </c>
      <c r="R67" s="9">
        <f t="shared" si="20"/>
        <v>12.828664416297205</v>
      </c>
      <c r="S67" s="14">
        <f t="shared" si="36"/>
        <v>2</v>
      </c>
      <c r="T67" s="9">
        <f t="shared" si="21"/>
        <v>1.7903300708920569</v>
      </c>
      <c r="U67" s="14">
        <f t="shared" si="37"/>
        <v>50</v>
      </c>
      <c r="V67" s="9">
        <f t="shared" si="22"/>
        <v>1</v>
      </c>
      <c r="W67" s="14" t="s">
        <v>119</v>
      </c>
      <c r="X67" s="9">
        <f t="shared" si="23"/>
        <v>1</v>
      </c>
      <c r="Y67" s="14"/>
      <c r="Z67" s="9">
        <f t="shared" si="24"/>
        <v>1</v>
      </c>
      <c r="AA67" s="14"/>
      <c r="AB67" s="9">
        <f t="shared" si="25"/>
        <v>1</v>
      </c>
      <c r="AC67" s="14">
        <f t="shared" si="38"/>
        <v>2</v>
      </c>
      <c r="AD67" s="9">
        <f t="shared" si="26"/>
        <v>1.1091567034898182</v>
      </c>
      <c r="AE67" s="15">
        <f t="shared" si="27"/>
        <v>2.7716370271093874E-2</v>
      </c>
      <c r="AF67" s="10">
        <f t="shared" si="28"/>
        <v>12.867301914792897</v>
      </c>
      <c r="AG67" s="14">
        <v>5</v>
      </c>
      <c r="AH67" s="9">
        <f t="shared" si="29"/>
        <v>0.72015920345195805</v>
      </c>
      <c r="AI67" s="9">
        <f t="shared" si="30"/>
        <v>2.7716370271093874E-2</v>
      </c>
      <c r="AJ67" s="14"/>
      <c r="AK67" s="9">
        <f t="shared" si="31"/>
        <v>0</v>
      </c>
      <c r="AL67" s="15">
        <f t="shared" si="32"/>
        <v>1.9960199137010495E-2</v>
      </c>
      <c r="AM67" s="16"/>
      <c r="AN67" s="14"/>
      <c r="AO67" s="14"/>
      <c r="AP67" s="14"/>
      <c r="AQ67" s="14"/>
      <c r="AR67" s="14"/>
      <c r="AS67" s="14"/>
      <c r="AT67" s="14"/>
      <c r="AU67" s="14"/>
      <c r="AV67" s="14"/>
      <c r="AW67" s="15">
        <f t="shared" si="33"/>
        <v>9.2096358818166413E-3</v>
      </c>
    </row>
    <row r="68" spans="1:49" s="13" customFormat="1" x14ac:dyDescent="0.25">
      <c r="A68" s="13" t="s">
        <v>67</v>
      </c>
      <c r="B68" s="13" t="s">
        <v>76</v>
      </c>
      <c r="C68" s="13" t="str">
        <f t="shared" si="34"/>
        <v>396639A</v>
      </c>
      <c r="D68" s="13" t="str">
        <f t="shared" si="34"/>
        <v>E “D” Street</v>
      </c>
      <c r="E68" s="9">
        <f t="shared" si="34"/>
        <v>2</v>
      </c>
      <c r="F68" s="14">
        <f t="shared" si="34"/>
        <v>8</v>
      </c>
      <c r="G68" s="18" t="str">
        <f t="shared" si="34"/>
        <v>Gates</v>
      </c>
      <c r="H68" s="14">
        <f t="shared" si="19"/>
        <v>1.088E-3</v>
      </c>
      <c r="I68" s="14"/>
      <c r="J68" s="14"/>
      <c r="K68" s="14">
        <f t="shared" ref="K68:K88" si="39">K40</f>
        <v>5230</v>
      </c>
      <c r="L68" s="14"/>
      <c r="M68" s="14"/>
      <c r="N68" s="14"/>
      <c r="O68" s="14">
        <v>1.6</v>
      </c>
      <c r="P68" s="10">
        <f t="shared" ref="P68:P88" si="40">K68*O68</f>
        <v>8368</v>
      </c>
      <c r="Q68" s="14">
        <f t="shared" ref="Q68:Q80" si="41">2+14</f>
        <v>16</v>
      </c>
      <c r="R68" s="9">
        <f t="shared" si="20"/>
        <v>65.35697679923156</v>
      </c>
      <c r="S68" s="14">
        <v>2</v>
      </c>
      <c r="T68" s="9">
        <f t="shared" si="21"/>
        <v>1.7903300708920569</v>
      </c>
      <c r="U68" s="14">
        <f t="shared" si="37"/>
        <v>14</v>
      </c>
      <c r="V68" s="9">
        <f t="shared" si="22"/>
        <v>1</v>
      </c>
      <c r="W68" s="14" t="s">
        <v>43</v>
      </c>
      <c r="X68" s="9">
        <f t="shared" si="23"/>
        <v>1</v>
      </c>
      <c r="Y68" s="14"/>
      <c r="Z68" s="9">
        <f t="shared" si="24"/>
        <v>1</v>
      </c>
      <c r="AA68" s="14"/>
      <c r="AB68" s="9">
        <f t="shared" si="25"/>
        <v>1</v>
      </c>
      <c r="AC68" s="14">
        <f t="shared" si="38"/>
        <v>4</v>
      </c>
      <c r="AD68" s="9">
        <f t="shared" si="26"/>
        <v>1.364516290635889</v>
      </c>
      <c r="AE68" s="15">
        <f t="shared" si="27"/>
        <v>0.17371314438793983</v>
      </c>
      <c r="AF68" s="10">
        <f t="shared" si="28"/>
        <v>4.4700100333215342</v>
      </c>
      <c r="AG68" s="14">
        <v>5</v>
      </c>
      <c r="AH68" s="9">
        <f t="shared" si="29"/>
        <v>0.47201745484885321</v>
      </c>
      <c r="AI68" s="9">
        <f t="shared" si="30"/>
        <v>0.17371314438793983</v>
      </c>
      <c r="AJ68" s="14"/>
      <c r="AK68" s="9">
        <f t="shared" si="31"/>
        <v>0</v>
      </c>
      <c r="AL68" s="15">
        <f t="shared" si="32"/>
        <v>8.1995636287786708E-2</v>
      </c>
      <c r="AM68" s="16"/>
      <c r="AN68" s="14"/>
      <c r="AO68" s="14"/>
      <c r="AP68" s="14"/>
      <c r="AQ68" s="14"/>
      <c r="AR68" s="14"/>
      <c r="AS68" s="14"/>
      <c r="AT68" s="14"/>
      <c r="AU68" s="14"/>
      <c r="AV68" s="14"/>
      <c r="AW68" s="15">
        <f t="shared" si="33"/>
        <v>3.7832786583184785E-2</v>
      </c>
    </row>
    <row r="69" spans="1:49" s="13" customFormat="1" x14ac:dyDescent="0.25">
      <c r="A69" s="13" t="s">
        <v>67</v>
      </c>
      <c r="B69" s="13" t="s">
        <v>76</v>
      </c>
      <c r="C69" s="13" t="str">
        <f t="shared" si="34"/>
        <v>396640U</v>
      </c>
      <c r="D69" s="13" t="str">
        <f t="shared" si="34"/>
        <v>E “C” Street</v>
      </c>
      <c r="E69" s="9">
        <f t="shared" si="34"/>
        <v>2.1</v>
      </c>
      <c r="F69" s="14">
        <f t="shared" si="34"/>
        <v>8</v>
      </c>
      <c r="G69" s="18" t="str">
        <f t="shared" si="34"/>
        <v>Gates</v>
      </c>
      <c r="H69" s="14">
        <f t="shared" si="19"/>
        <v>1.088E-3</v>
      </c>
      <c r="I69" s="14"/>
      <c r="J69" s="14"/>
      <c r="K69" s="14">
        <f t="shared" si="39"/>
        <v>1520</v>
      </c>
      <c r="L69" s="14"/>
      <c r="M69" s="14"/>
      <c r="N69" s="14"/>
      <c r="O69" s="14">
        <v>2.79</v>
      </c>
      <c r="P69" s="10">
        <f t="shared" si="40"/>
        <v>4240.8</v>
      </c>
      <c r="Q69" s="14">
        <f t="shared" si="41"/>
        <v>16</v>
      </c>
      <c r="R69" s="9">
        <f t="shared" si="20"/>
        <v>52.882986155125565</v>
      </c>
      <c r="S69" s="14">
        <v>2</v>
      </c>
      <c r="T69" s="9">
        <f t="shared" si="21"/>
        <v>1.7903300708920569</v>
      </c>
      <c r="U69" s="14">
        <f t="shared" si="37"/>
        <v>14</v>
      </c>
      <c r="V69" s="9">
        <f t="shared" si="22"/>
        <v>1</v>
      </c>
      <c r="W69" s="14" t="s">
        <v>43</v>
      </c>
      <c r="X69" s="9">
        <f t="shared" si="23"/>
        <v>1</v>
      </c>
      <c r="Y69" s="14"/>
      <c r="Z69" s="9">
        <f t="shared" si="24"/>
        <v>1</v>
      </c>
      <c r="AA69" s="14"/>
      <c r="AB69" s="9">
        <f t="shared" si="25"/>
        <v>1</v>
      </c>
      <c r="AC69" s="14">
        <f t="shared" si="38"/>
        <v>2</v>
      </c>
      <c r="AD69" s="9">
        <f t="shared" si="26"/>
        <v>1.1091567034898182</v>
      </c>
      <c r="AE69" s="15">
        <f t="shared" si="27"/>
        <v>0.11425385977472234</v>
      </c>
      <c r="AF69" s="10">
        <f t="shared" si="28"/>
        <v>6.0881369933803757</v>
      </c>
      <c r="AG69" s="14">
        <v>5</v>
      </c>
      <c r="AH69" s="9">
        <f t="shared" si="29"/>
        <v>0.54906762037797663</v>
      </c>
      <c r="AI69" s="9">
        <f t="shared" si="30"/>
        <v>0.11425385977472234</v>
      </c>
      <c r="AJ69" s="14">
        <v>1</v>
      </c>
      <c r="AK69" s="9">
        <f t="shared" si="31"/>
        <v>0.2</v>
      </c>
      <c r="AL69" s="15">
        <f t="shared" si="32"/>
        <v>0.17254661898110116</v>
      </c>
      <c r="AM69" s="16"/>
      <c r="AN69" s="14"/>
      <c r="AO69" s="14"/>
      <c r="AP69" s="14"/>
      <c r="AQ69" s="14"/>
      <c r="AR69" s="14"/>
      <c r="AS69" s="14"/>
      <c r="AT69" s="14"/>
      <c r="AU69" s="14"/>
      <c r="AV69" s="14"/>
      <c r="AW69" s="15">
        <f t="shared" si="33"/>
        <v>7.9613009997880069E-2</v>
      </c>
    </row>
    <row r="70" spans="1:49" s="13" customFormat="1" x14ac:dyDescent="0.25">
      <c r="A70" s="13" t="s">
        <v>67</v>
      </c>
      <c r="B70" s="13" t="s">
        <v>76</v>
      </c>
      <c r="C70" s="13" t="str">
        <f t="shared" si="34"/>
        <v>n/a NEW</v>
      </c>
      <c r="D70" s="13" t="str">
        <f t="shared" si="34"/>
        <v>S “C” Street</v>
      </c>
      <c r="E70" s="9">
        <f t="shared" si="34"/>
        <v>0</v>
      </c>
      <c r="F70" s="14">
        <f t="shared" si="34"/>
        <v>8</v>
      </c>
      <c r="G70" s="18" t="str">
        <f t="shared" si="34"/>
        <v>Gates</v>
      </c>
      <c r="H70" s="14">
        <f t="shared" si="19"/>
        <v>1.088E-3</v>
      </c>
      <c r="I70" s="14"/>
      <c r="J70" s="14"/>
      <c r="K70" s="14">
        <f t="shared" si="39"/>
        <v>1820</v>
      </c>
      <c r="L70" s="14"/>
      <c r="M70" s="14"/>
      <c r="N70" s="14"/>
      <c r="O70" s="14">
        <v>1.21</v>
      </c>
      <c r="P70" s="10">
        <f t="shared" si="40"/>
        <v>2202.1999999999998</v>
      </c>
      <c r="Q70" s="14">
        <f>14</f>
        <v>14</v>
      </c>
      <c r="R70" s="9">
        <f t="shared" si="20"/>
        <v>41.358767957522005</v>
      </c>
      <c r="S70" s="14">
        <v>1</v>
      </c>
      <c r="T70" s="9">
        <f t="shared" si="21"/>
        <v>1.3380321636239008</v>
      </c>
      <c r="U70" s="14">
        <f t="shared" si="37"/>
        <v>14</v>
      </c>
      <c r="V70" s="9">
        <f t="shared" si="22"/>
        <v>1</v>
      </c>
      <c r="W70" s="14" t="s">
        <v>43</v>
      </c>
      <c r="X70" s="9">
        <f t="shared" si="23"/>
        <v>1</v>
      </c>
      <c r="Y70" s="14"/>
      <c r="Z70" s="9">
        <f t="shared" si="24"/>
        <v>1</v>
      </c>
      <c r="AA70" s="14"/>
      <c r="AB70" s="9">
        <f t="shared" si="25"/>
        <v>1</v>
      </c>
      <c r="AC70" s="14">
        <v>2</v>
      </c>
      <c r="AD70" s="9">
        <f t="shared" si="26"/>
        <v>1.1091567034898182</v>
      </c>
      <c r="AE70" s="15">
        <f t="shared" si="27"/>
        <v>6.678146619861991E-2</v>
      </c>
      <c r="AF70" s="10">
        <f t="shared" si="28"/>
        <v>8.5630026112124433</v>
      </c>
      <c r="AG70" s="14">
        <v>5</v>
      </c>
      <c r="AH70" s="9">
        <f t="shared" si="29"/>
        <v>0.63135006728771592</v>
      </c>
      <c r="AI70" s="9">
        <f t="shared" si="30"/>
        <v>6.678146619861991E-2</v>
      </c>
      <c r="AJ70" s="14"/>
      <c r="AK70" s="9">
        <f t="shared" si="31"/>
        <v>0</v>
      </c>
      <c r="AL70" s="15">
        <f t="shared" si="32"/>
        <v>4.216248317807101E-2</v>
      </c>
      <c r="AM70" s="16"/>
      <c r="AN70" s="14"/>
      <c r="AO70" s="14"/>
      <c r="AP70" s="14"/>
      <c r="AQ70" s="14"/>
      <c r="AR70" s="14"/>
      <c r="AS70" s="14"/>
      <c r="AT70" s="14"/>
      <c r="AU70" s="14"/>
      <c r="AV70" s="14"/>
      <c r="AW70" s="15">
        <f t="shared" si="33"/>
        <v>1.9453769738361965E-2</v>
      </c>
    </row>
    <row r="71" spans="1:49" s="13" customFormat="1" x14ac:dyDescent="0.25">
      <c r="A71" s="13" t="s">
        <v>67</v>
      </c>
      <c r="B71" s="13" t="s">
        <v>76</v>
      </c>
      <c r="C71" s="13" t="str">
        <f t="shared" ref="C71:G80" si="42">C43</f>
        <v>085372C</v>
      </c>
      <c r="D71" s="13" t="str">
        <f t="shared" si="42"/>
        <v>S Chandler Street</v>
      </c>
      <c r="E71" s="9">
        <f t="shared" si="42"/>
        <v>2.96</v>
      </c>
      <c r="F71" s="14">
        <f t="shared" si="42"/>
        <v>8</v>
      </c>
      <c r="G71" s="18" t="str">
        <f t="shared" si="42"/>
        <v>Gates</v>
      </c>
      <c r="H71" s="14">
        <f t="shared" si="19"/>
        <v>1.088E-3</v>
      </c>
      <c r="I71" s="14"/>
      <c r="J71" s="14"/>
      <c r="K71" s="14">
        <f t="shared" si="39"/>
        <v>460</v>
      </c>
      <c r="L71" s="14"/>
      <c r="M71" s="14"/>
      <c r="N71" s="14"/>
      <c r="O71" s="14">
        <v>1.1000000000000001</v>
      </c>
      <c r="P71" s="10">
        <f t="shared" si="40"/>
        <v>506.00000000000006</v>
      </c>
      <c r="Q71" s="14">
        <f t="shared" si="41"/>
        <v>16</v>
      </c>
      <c r="R71" s="9">
        <f t="shared" si="20"/>
        <v>27.265877801799878</v>
      </c>
      <c r="S71" s="14">
        <v>1</v>
      </c>
      <c r="T71" s="9">
        <f t="shared" si="21"/>
        <v>1.3380321636239008</v>
      </c>
      <c r="U71" s="14">
        <f t="shared" si="37"/>
        <v>14</v>
      </c>
      <c r="V71" s="9">
        <f t="shared" si="22"/>
        <v>1</v>
      </c>
      <c r="W71" s="14" t="s">
        <v>43</v>
      </c>
      <c r="X71" s="9">
        <f t="shared" si="23"/>
        <v>1</v>
      </c>
      <c r="Y71" s="14"/>
      <c r="Z71" s="9">
        <f t="shared" si="24"/>
        <v>1</v>
      </c>
      <c r="AA71" s="14"/>
      <c r="AB71" s="9">
        <f t="shared" si="25"/>
        <v>1</v>
      </c>
      <c r="AC71" s="14">
        <f t="shared" ref="AC71:AC88" si="43">AC43</f>
        <v>2</v>
      </c>
      <c r="AD71" s="9">
        <f t="shared" si="26"/>
        <v>1.1091567034898182</v>
      </c>
      <c r="AE71" s="15">
        <f t="shared" si="27"/>
        <v>4.4025859248678051E-2</v>
      </c>
      <c r="AF71" s="10">
        <f t="shared" si="28"/>
        <v>10.635372098597008</v>
      </c>
      <c r="AG71" s="14">
        <v>5</v>
      </c>
      <c r="AH71" s="9">
        <f t="shared" si="29"/>
        <v>0.68021227966498732</v>
      </c>
      <c r="AI71" s="9">
        <f t="shared" si="30"/>
        <v>4.4025859248678051E-2</v>
      </c>
      <c r="AJ71" s="14"/>
      <c r="AK71" s="9">
        <f t="shared" si="31"/>
        <v>0</v>
      </c>
      <c r="AL71" s="15">
        <f t="shared" si="32"/>
        <v>2.9946930083753164E-2</v>
      </c>
      <c r="AM71" s="16"/>
      <c r="AN71" s="14"/>
      <c r="AO71" s="14"/>
      <c r="AP71" s="14"/>
      <c r="AQ71" s="14"/>
      <c r="AR71" s="14"/>
      <c r="AS71" s="14"/>
      <c r="AT71" s="14"/>
      <c r="AU71" s="14"/>
      <c r="AV71" s="14"/>
      <c r="AW71" s="15">
        <f t="shared" si="33"/>
        <v>1.3817513540643709E-2</v>
      </c>
    </row>
    <row r="72" spans="1:49" s="13" customFormat="1" x14ac:dyDescent="0.25">
      <c r="A72" s="13" t="s">
        <v>67</v>
      </c>
      <c r="B72" s="13" t="s">
        <v>76</v>
      </c>
      <c r="C72" s="13" t="str">
        <f t="shared" si="42"/>
        <v>085373J</v>
      </c>
      <c r="D72" s="13" t="str">
        <f t="shared" si="42"/>
        <v>S Alaska Street</v>
      </c>
      <c r="E72" s="9">
        <f t="shared" si="42"/>
        <v>3.06</v>
      </c>
      <c r="F72" s="14">
        <f t="shared" si="42"/>
        <v>8</v>
      </c>
      <c r="G72" s="18" t="str">
        <f t="shared" si="42"/>
        <v>Gates</v>
      </c>
      <c r="H72" s="14">
        <f t="shared" si="19"/>
        <v>1.088E-3</v>
      </c>
      <c r="I72" s="14"/>
      <c r="J72" s="14"/>
      <c r="K72" s="14">
        <f t="shared" si="39"/>
        <v>200</v>
      </c>
      <c r="L72" s="14"/>
      <c r="M72" s="14"/>
      <c r="N72" s="14"/>
      <c r="O72" s="14">
        <v>1.25</v>
      </c>
      <c r="P72" s="10">
        <f t="shared" si="40"/>
        <v>250</v>
      </c>
      <c r="Q72" s="14">
        <f t="shared" si="41"/>
        <v>16</v>
      </c>
      <c r="R72" s="9">
        <f t="shared" si="20"/>
        <v>21.888082288980002</v>
      </c>
      <c r="S72" s="14">
        <v>1</v>
      </c>
      <c r="T72" s="9">
        <f t="shared" si="21"/>
        <v>1.3380321636239008</v>
      </c>
      <c r="U72" s="14">
        <f t="shared" si="37"/>
        <v>14</v>
      </c>
      <c r="V72" s="9">
        <f t="shared" si="22"/>
        <v>1</v>
      </c>
      <c r="W72" s="14" t="s">
        <v>43</v>
      </c>
      <c r="X72" s="9">
        <f t="shared" si="23"/>
        <v>1</v>
      </c>
      <c r="Y72" s="14"/>
      <c r="Z72" s="9">
        <f t="shared" si="24"/>
        <v>1</v>
      </c>
      <c r="AA72" s="14"/>
      <c r="AB72" s="9">
        <f t="shared" si="25"/>
        <v>1</v>
      </c>
      <c r="AC72" s="14">
        <f t="shared" si="43"/>
        <v>2</v>
      </c>
      <c r="AD72" s="9">
        <f t="shared" si="26"/>
        <v>1.1091567034898182</v>
      </c>
      <c r="AE72" s="15">
        <f t="shared" si="27"/>
        <v>3.5342402584027731E-2</v>
      </c>
      <c r="AF72" s="10">
        <f t="shared" si="28"/>
        <v>11.717504660305348</v>
      </c>
      <c r="AG72" s="14">
        <v>5</v>
      </c>
      <c r="AH72" s="9">
        <f t="shared" si="29"/>
        <v>0.70091230111200853</v>
      </c>
      <c r="AI72" s="9">
        <f t="shared" si="30"/>
        <v>3.5342402584027731E-2</v>
      </c>
      <c r="AJ72" s="14"/>
      <c r="AK72" s="9">
        <f t="shared" si="31"/>
        <v>0</v>
      </c>
      <c r="AL72" s="15">
        <f t="shared" si="32"/>
        <v>2.4771924721997872E-2</v>
      </c>
      <c r="AM72" s="16"/>
      <c r="AN72" s="14"/>
      <c r="AO72" s="14"/>
      <c r="AP72" s="14"/>
      <c r="AQ72" s="14"/>
      <c r="AR72" s="14"/>
      <c r="AS72" s="14"/>
      <c r="AT72" s="14"/>
      <c r="AU72" s="14"/>
      <c r="AV72" s="14"/>
      <c r="AW72" s="15">
        <f t="shared" si="33"/>
        <v>1.1429766066729817E-2</v>
      </c>
    </row>
    <row r="73" spans="1:49" s="13" customFormat="1" x14ac:dyDescent="0.25">
      <c r="A73" s="13" t="s">
        <v>67</v>
      </c>
      <c r="B73" s="13" t="s">
        <v>76</v>
      </c>
      <c r="C73" s="13" t="str">
        <f t="shared" si="42"/>
        <v>085374R</v>
      </c>
      <c r="D73" s="13" t="str">
        <f t="shared" si="42"/>
        <v>S Wilkeson Street</v>
      </c>
      <c r="E73" s="9">
        <f t="shared" si="42"/>
        <v>3.12</v>
      </c>
      <c r="F73" s="14">
        <f t="shared" si="42"/>
        <v>8</v>
      </c>
      <c r="G73" s="18" t="str">
        <f t="shared" si="42"/>
        <v>Gates</v>
      </c>
      <c r="H73" s="14">
        <f t="shared" si="19"/>
        <v>1.088E-3</v>
      </c>
      <c r="I73" s="14"/>
      <c r="J73" s="14"/>
      <c r="K73" s="14">
        <f t="shared" si="39"/>
        <v>6320</v>
      </c>
      <c r="L73" s="14"/>
      <c r="M73" s="14"/>
      <c r="N73" s="14"/>
      <c r="O73" s="14">
        <v>1.22</v>
      </c>
      <c r="P73" s="10">
        <f t="shared" si="40"/>
        <v>7710.4</v>
      </c>
      <c r="Q73" s="14">
        <f t="shared" si="41"/>
        <v>16</v>
      </c>
      <c r="R73" s="9">
        <f t="shared" si="20"/>
        <v>63.71126441239003</v>
      </c>
      <c r="S73" s="14">
        <v>1</v>
      </c>
      <c r="T73" s="9">
        <f t="shared" si="21"/>
        <v>1.3380321636239008</v>
      </c>
      <c r="U73" s="14">
        <f t="shared" si="37"/>
        <v>14</v>
      </c>
      <c r="V73" s="9">
        <f t="shared" si="22"/>
        <v>1</v>
      </c>
      <c r="W73" s="14" t="s">
        <v>43</v>
      </c>
      <c r="X73" s="9">
        <f t="shared" si="23"/>
        <v>1</v>
      </c>
      <c r="Y73" s="14"/>
      <c r="Z73" s="9">
        <f t="shared" si="24"/>
        <v>1</v>
      </c>
      <c r="AA73" s="14"/>
      <c r="AB73" s="9">
        <f t="shared" si="25"/>
        <v>1</v>
      </c>
      <c r="AC73" s="14">
        <f t="shared" si="43"/>
        <v>2</v>
      </c>
      <c r="AD73" s="9">
        <f t="shared" si="26"/>
        <v>1.1091567034898182</v>
      </c>
      <c r="AE73" s="15">
        <f t="shared" si="27"/>
        <v>0.10287375231286461</v>
      </c>
      <c r="AF73" s="10">
        <f t="shared" si="28"/>
        <v>6.5413452922477147</v>
      </c>
      <c r="AG73" s="14">
        <v>5</v>
      </c>
      <c r="AH73" s="9">
        <f t="shared" si="29"/>
        <v>0.56677494058179811</v>
      </c>
      <c r="AI73" s="9">
        <f t="shared" si="30"/>
        <v>0.10287375231286461</v>
      </c>
      <c r="AJ73" s="14"/>
      <c r="AK73" s="9">
        <f t="shared" si="31"/>
        <v>0</v>
      </c>
      <c r="AL73" s="15">
        <f t="shared" si="32"/>
        <v>5.8306264854550455E-2</v>
      </c>
      <c r="AM73" s="16"/>
      <c r="AN73" s="14"/>
      <c r="AO73" s="14"/>
      <c r="AP73" s="14"/>
      <c r="AQ73" s="14"/>
      <c r="AR73" s="14"/>
      <c r="AS73" s="14"/>
      <c r="AT73" s="14"/>
      <c r="AU73" s="14"/>
      <c r="AV73" s="14"/>
      <c r="AW73" s="15">
        <f t="shared" si="33"/>
        <v>2.6902510603889578E-2</v>
      </c>
    </row>
    <row r="74" spans="1:49" s="13" customFormat="1" x14ac:dyDescent="0.25">
      <c r="A74" s="13" t="s">
        <v>67</v>
      </c>
      <c r="B74" s="13" t="s">
        <v>76</v>
      </c>
      <c r="C74" s="13" t="str">
        <f t="shared" si="42"/>
        <v>085382H</v>
      </c>
      <c r="D74" s="13" t="str">
        <f t="shared" si="42"/>
        <v>S Pine Street</v>
      </c>
      <c r="E74" s="9">
        <f t="shared" si="42"/>
        <v>3.79</v>
      </c>
      <c r="F74" s="14">
        <f t="shared" si="42"/>
        <v>8</v>
      </c>
      <c r="G74" s="18" t="str">
        <f t="shared" si="42"/>
        <v>Gates</v>
      </c>
      <c r="H74" s="14">
        <f t="shared" si="19"/>
        <v>1.088E-3</v>
      </c>
      <c r="I74" s="14"/>
      <c r="J74" s="14"/>
      <c r="K74" s="14">
        <f t="shared" si="39"/>
        <v>20510</v>
      </c>
      <c r="L74" s="14"/>
      <c r="M74" s="14"/>
      <c r="N74" s="14"/>
      <c r="O74" s="14">
        <v>1.08</v>
      </c>
      <c r="P74" s="10">
        <f t="shared" si="40"/>
        <v>22150.800000000003</v>
      </c>
      <c r="Q74" s="14">
        <f t="shared" si="41"/>
        <v>16</v>
      </c>
      <c r="R74" s="9">
        <f t="shared" si="20"/>
        <v>88.516912726922143</v>
      </c>
      <c r="S74" s="14">
        <v>1</v>
      </c>
      <c r="T74" s="9">
        <f t="shared" si="21"/>
        <v>1.3380321636239008</v>
      </c>
      <c r="U74" s="14">
        <f t="shared" si="37"/>
        <v>14</v>
      </c>
      <c r="V74" s="9">
        <f t="shared" si="22"/>
        <v>1</v>
      </c>
      <c r="W74" s="14" t="s">
        <v>43</v>
      </c>
      <c r="X74" s="9">
        <f t="shared" si="23"/>
        <v>1</v>
      </c>
      <c r="Y74" s="14"/>
      <c r="Z74" s="9">
        <f t="shared" si="24"/>
        <v>1</v>
      </c>
      <c r="AA74" s="14"/>
      <c r="AB74" s="9">
        <f t="shared" si="25"/>
        <v>1</v>
      </c>
      <c r="AC74" s="14">
        <f t="shared" si="43"/>
        <v>5</v>
      </c>
      <c r="AD74" s="9">
        <f t="shared" si="26"/>
        <v>1.5134623907798572</v>
      </c>
      <c r="AE74" s="15">
        <f t="shared" si="27"/>
        <v>0.19502637122055852</v>
      </c>
      <c r="AF74" s="10">
        <f t="shared" si="28"/>
        <v>4.0811933630599215</v>
      </c>
      <c r="AG74" s="14">
        <v>5</v>
      </c>
      <c r="AH74" s="9">
        <f t="shared" si="29"/>
        <v>0.44941156959185791</v>
      </c>
      <c r="AI74" s="9">
        <f t="shared" si="30"/>
        <v>0.19502637122055852</v>
      </c>
      <c r="AJ74" s="14"/>
      <c r="AK74" s="9">
        <f t="shared" si="31"/>
        <v>0</v>
      </c>
      <c r="AL74" s="15">
        <f t="shared" si="32"/>
        <v>8.7647107602035548E-2</v>
      </c>
      <c r="AM74" s="16"/>
      <c r="AN74" s="14"/>
      <c r="AO74" s="14"/>
      <c r="AP74" s="14"/>
      <c r="AQ74" s="14"/>
      <c r="AR74" s="14"/>
      <c r="AS74" s="14"/>
      <c r="AT74" s="14"/>
      <c r="AU74" s="14"/>
      <c r="AV74" s="14"/>
      <c r="AW74" s="15">
        <f t="shared" si="33"/>
        <v>4.0440375447579197E-2</v>
      </c>
    </row>
    <row r="75" spans="1:49" s="13" customFormat="1" x14ac:dyDescent="0.25">
      <c r="A75" s="13" t="s">
        <v>67</v>
      </c>
      <c r="B75" s="13" t="s">
        <v>76</v>
      </c>
      <c r="C75" s="13" t="str">
        <f t="shared" si="42"/>
        <v>085385D</v>
      </c>
      <c r="D75" s="13" t="str">
        <f t="shared" si="42"/>
        <v>S 35th Street</v>
      </c>
      <c r="E75" s="9">
        <f t="shared" si="42"/>
        <v>4.1500000000000004</v>
      </c>
      <c r="F75" s="14">
        <f t="shared" si="42"/>
        <v>8</v>
      </c>
      <c r="G75" s="18" t="str">
        <f t="shared" si="42"/>
        <v>Gates</v>
      </c>
      <c r="H75" s="14">
        <f t="shared" si="19"/>
        <v>1.088E-3</v>
      </c>
      <c r="I75" s="14"/>
      <c r="J75" s="14"/>
      <c r="K75" s="14">
        <f t="shared" si="39"/>
        <v>3660</v>
      </c>
      <c r="L75" s="14"/>
      <c r="M75" s="14"/>
      <c r="N75" s="14"/>
      <c r="O75" s="14">
        <v>1.04</v>
      </c>
      <c r="P75" s="10">
        <f t="shared" si="40"/>
        <v>3806.4</v>
      </c>
      <c r="Q75" s="14">
        <f t="shared" si="41"/>
        <v>16</v>
      </c>
      <c r="R75" s="9">
        <f t="shared" si="20"/>
        <v>51.131858580173365</v>
      </c>
      <c r="S75" s="14">
        <v>1</v>
      </c>
      <c r="T75" s="9">
        <f t="shared" si="21"/>
        <v>1.3380321636239008</v>
      </c>
      <c r="U75" s="14">
        <f t="shared" si="37"/>
        <v>16</v>
      </c>
      <c r="V75" s="9">
        <f t="shared" si="22"/>
        <v>1</v>
      </c>
      <c r="W75" s="14" t="s">
        <v>43</v>
      </c>
      <c r="X75" s="9">
        <f t="shared" si="23"/>
        <v>1</v>
      </c>
      <c r="Y75" s="14"/>
      <c r="Z75" s="9">
        <f t="shared" si="24"/>
        <v>1</v>
      </c>
      <c r="AA75" s="14"/>
      <c r="AB75" s="9">
        <f t="shared" si="25"/>
        <v>1</v>
      </c>
      <c r="AC75" s="14">
        <f t="shared" si="43"/>
        <v>5</v>
      </c>
      <c r="AD75" s="9">
        <f t="shared" si="26"/>
        <v>1.5134623907798572</v>
      </c>
      <c r="AE75" s="15">
        <f t="shared" si="27"/>
        <v>0.11265712422007029</v>
      </c>
      <c r="AF75" s="10">
        <f t="shared" si="28"/>
        <v>6.1479016353875133</v>
      </c>
      <c r="AG75" s="14">
        <v>5</v>
      </c>
      <c r="AH75" s="9">
        <f t="shared" si="29"/>
        <v>0.55148509885231023</v>
      </c>
      <c r="AI75" s="9">
        <f t="shared" si="30"/>
        <v>0.11265712422007029</v>
      </c>
      <c r="AJ75" s="14"/>
      <c r="AK75" s="9">
        <f t="shared" si="31"/>
        <v>0</v>
      </c>
      <c r="AL75" s="15">
        <f t="shared" si="32"/>
        <v>6.2128725286922461E-2</v>
      </c>
      <c r="AM75" s="16"/>
      <c r="AN75" s="14"/>
      <c r="AO75" s="14"/>
      <c r="AP75" s="14"/>
      <c r="AQ75" s="14"/>
      <c r="AR75" s="14"/>
      <c r="AS75" s="14"/>
      <c r="AT75" s="14"/>
      <c r="AU75" s="14"/>
      <c r="AV75" s="14"/>
      <c r="AW75" s="15">
        <f t="shared" si="33"/>
        <v>2.8666193847386022E-2</v>
      </c>
    </row>
    <row r="76" spans="1:49" s="13" customFormat="1" x14ac:dyDescent="0.25">
      <c r="A76" s="13" t="s">
        <v>67</v>
      </c>
      <c r="B76" s="13" t="s">
        <v>76</v>
      </c>
      <c r="C76" s="13" t="str">
        <f t="shared" si="42"/>
        <v>085391G</v>
      </c>
      <c r="D76" s="13" t="str">
        <f t="shared" si="42"/>
        <v>S 50th Street</v>
      </c>
      <c r="E76" s="9">
        <f t="shared" si="42"/>
        <v>5.47</v>
      </c>
      <c r="F76" s="14">
        <f t="shared" si="42"/>
        <v>8</v>
      </c>
      <c r="G76" s="18" t="str">
        <f t="shared" si="42"/>
        <v>Gates</v>
      </c>
      <c r="H76" s="14">
        <f t="shared" ref="H76:H107" si="44">IF(G76="Passive",0.002268,IF(G76="Lights",0.003646,IF(G76="Gates",0.001088,"Re-enter Crossing Category")))</f>
        <v>1.088E-3</v>
      </c>
      <c r="I76" s="14"/>
      <c r="J76" s="14"/>
      <c r="K76" s="14">
        <f t="shared" si="39"/>
        <v>820</v>
      </c>
      <c r="L76" s="14"/>
      <c r="M76" s="14"/>
      <c r="N76" s="14"/>
      <c r="O76" s="14">
        <v>1.08</v>
      </c>
      <c r="P76" s="10">
        <f t="shared" si="40"/>
        <v>885.6</v>
      </c>
      <c r="Q76" s="14">
        <f t="shared" si="41"/>
        <v>16</v>
      </c>
      <c r="R76" s="9">
        <f t="shared" ref="R76:R107" si="45">IF(G76="Passive",((P76*Q76+0.2)/0.2)^0.3334,IF(G76="Lights",((P76*Q76+0.2)/0.2)^0.2953,IF(G76="Gates",((P76*Q76+0.2)/0.2)^0.3116,"Re-enter Crossing Category")))</f>
        <v>32.461156513192982</v>
      </c>
      <c r="S76" s="14">
        <v>2</v>
      </c>
      <c r="T76" s="9">
        <f t="shared" ref="T76:T107" si="46">IF(G76="Passive",EXP(0.2094*S76),IF(G76="Lights",EXP(0.1088*S76),IF(G76="Gates",EXP(0.2912*S76),"Re-enter Crossing Category")))</f>
        <v>1.7903300708920569</v>
      </c>
      <c r="U76" s="14">
        <f t="shared" si="37"/>
        <v>14</v>
      </c>
      <c r="V76" s="9">
        <f t="shared" ref="V76:V107" si="47">IF(G76="Passive",((U76+0.2)/0.2)^0.1336,IF(G76="Lights",((U76+0.2)/0.2)^0.047,IF(G76="Gates",1,"Re-enter Crossing Category")))</f>
        <v>1</v>
      </c>
      <c r="W76" s="14" t="s">
        <v>43</v>
      </c>
      <c r="X76" s="9">
        <f t="shared" ref="X76:X107" si="48">IF(G76="Passive",IF(W76="Yes",1,0.54),1)</f>
        <v>1</v>
      </c>
      <c r="Y76" s="14"/>
      <c r="Z76" s="9">
        <f t="shared" ref="Z76:Z107" si="49">IF(G76="Passive",EXP(0.0077*Y76),1)</f>
        <v>1</v>
      </c>
      <c r="AA76" s="14"/>
      <c r="AB76" s="9">
        <f t="shared" ref="AB76:AB107" si="50">IF(G76="Passive",EXP(-0.1*(AA76-1)),1)</f>
        <v>1</v>
      </c>
      <c r="AC76" s="14">
        <f t="shared" si="43"/>
        <v>2</v>
      </c>
      <c r="AD76" s="9">
        <f t="shared" ref="AD76:AD107" si="51">IF(G76="Passive",1,IF(G76="Lights",EXP(0.138*(AC76-1)),IF(G76="Gates",EXP(0.1036*(AC76-1)),"Re-enter Crossing Category")))</f>
        <v>1.1091567034898182</v>
      </c>
      <c r="AE76" s="15">
        <f t="shared" ref="AE76:AE107" si="52">H76*R76*T76*V76*X76*Z76*AB76*AD76</f>
        <v>7.0132431884696006E-2</v>
      </c>
      <c r="AF76" s="10">
        <f t="shared" ref="AF76:AF107" si="53">1/(0.05+AI76)</f>
        <v>8.3241468129090013</v>
      </c>
      <c r="AG76" s="14">
        <v>5</v>
      </c>
      <c r="AH76" s="9">
        <f t="shared" ref="AH76:AH107" si="54">AF76/(AF76+AG76)</f>
        <v>0.62474145097562372</v>
      </c>
      <c r="AI76" s="9">
        <f t="shared" ref="AI76:AI107" si="55">AE76</f>
        <v>7.0132431884696006E-2</v>
      </c>
      <c r="AJ76" s="14"/>
      <c r="AK76" s="9">
        <f t="shared" ref="AK76:AK107" si="56">AJ76/AG76</f>
        <v>0</v>
      </c>
      <c r="AL76" s="15">
        <f t="shared" ref="AL76:AL107" si="57">(AH76*AI76)+(AH76*AK76)</f>
        <v>4.381463725609408E-2</v>
      </c>
      <c r="AM76" s="16"/>
      <c r="AN76" s="14"/>
      <c r="AO76" s="14"/>
      <c r="AP76" s="14"/>
      <c r="AQ76" s="14"/>
      <c r="AR76" s="14"/>
      <c r="AS76" s="14"/>
      <c r="AT76" s="14"/>
      <c r="AU76" s="14"/>
      <c r="AV76" s="14"/>
      <c r="AW76" s="15">
        <f t="shared" ref="AW76:AW107" si="58">IF(G76="Passive",AL76*$AV$9,IF(G76="Lights",AL76*$AV$10,IF(G76="Gates",AL76*$AV$11,"Re-enter Crossing Category")))</f>
        <v>2.0216073629961806E-2</v>
      </c>
    </row>
    <row r="77" spans="1:49" s="13" customFormat="1" x14ac:dyDescent="0.25">
      <c r="A77" s="13" t="s">
        <v>67</v>
      </c>
      <c r="B77" s="13" t="s">
        <v>76</v>
      </c>
      <c r="C77" s="13" t="str">
        <f t="shared" si="42"/>
        <v>085392N</v>
      </c>
      <c r="D77" s="13" t="str">
        <f t="shared" si="42"/>
        <v>S 56th Street</v>
      </c>
      <c r="E77" s="9">
        <f t="shared" si="42"/>
        <v>5.81</v>
      </c>
      <c r="F77" s="14">
        <f t="shared" si="42"/>
        <v>8</v>
      </c>
      <c r="G77" s="18" t="str">
        <f t="shared" si="42"/>
        <v>Gates</v>
      </c>
      <c r="H77" s="14">
        <f t="shared" si="44"/>
        <v>1.088E-3</v>
      </c>
      <c r="I77" s="14"/>
      <c r="J77" s="14"/>
      <c r="K77" s="14">
        <f t="shared" si="39"/>
        <v>23950</v>
      </c>
      <c r="L77" s="14"/>
      <c r="M77" s="14"/>
      <c r="N77" s="14"/>
      <c r="O77" s="14">
        <v>1.22</v>
      </c>
      <c r="P77" s="10">
        <f t="shared" si="40"/>
        <v>29219</v>
      </c>
      <c r="Q77" s="14">
        <f t="shared" si="41"/>
        <v>16</v>
      </c>
      <c r="R77" s="9">
        <f t="shared" si="45"/>
        <v>96.49486889875881</v>
      </c>
      <c r="S77" s="14">
        <v>2</v>
      </c>
      <c r="T77" s="9">
        <f t="shared" si="46"/>
        <v>1.7903300708920569</v>
      </c>
      <c r="U77" s="14">
        <f t="shared" si="37"/>
        <v>14</v>
      </c>
      <c r="V77" s="9">
        <f t="shared" si="47"/>
        <v>1</v>
      </c>
      <c r="W77" s="14" t="s">
        <v>43</v>
      </c>
      <c r="X77" s="9">
        <f t="shared" si="48"/>
        <v>1</v>
      </c>
      <c r="Y77" s="14"/>
      <c r="Z77" s="9">
        <f t="shared" si="49"/>
        <v>1</v>
      </c>
      <c r="AA77" s="14"/>
      <c r="AB77" s="9">
        <f t="shared" si="50"/>
        <v>1</v>
      </c>
      <c r="AC77" s="14">
        <f t="shared" si="43"/>
        <v>4</v>
      </c>
      <c r="AD77" s="9">
        <f t="shared" si="51"/>
        <v>1.364516290635889</v>
      </c>
      <c r="AE77" s="15">
        <f t="shared" si="52"/>
        <v>0.25647494597550757</v>
      </c>
      <c r="AF77" s="10">
        <f t="shared" si="53"/>
        <v>3.2629094584453133</v>
      </c>
      <c r="AG77" s="14">
        <v>5</v>
      </c>
      <c r="AH77" s="9">
        <f t="shared" si="54"/>
        <v>0.39488626552846645</v>
      </c>
      <c r="AI77" s="9">
        <f t="shared" si="55"/>
        <v>0.25647494597550757</v>
      </c>
      <c r="AJ77" s="14"/>
      <c r="AK77" s="9">
        <f t="shared" si="56"/>
        <v>0</v>
      </c>
      <c r="AL77" s="15">
        <f t="shared" si="57"/>
        <v>0.10127843361788337</v>
      </c>
      <c r="AM77" s="16"/>
      <c r="AN77" s="14"/>
      <c r="AO77" s="14"/>
      <c r="AP77" s="14"/>
      <c r="AQ77" s="14"/>
      <c r="AR77" s="14"/>
      <c r="AS77" s="14"/>
      <c r="AT77" s="14"/>
      <c r="AU77" s="14"/>
      <c r="AV77" s="14"/>
      <c r="AW77" s="15">
        <f t="shared" si="58"/>
        <v>4.6729869271291385E-2</v>
      </c>
    </row>
    <row r="78" spans="1:49" s="13" customFormat="1" x14ac:dyDescent="0.25">
      <c r="A78" s="13" t="s">
        <v>67</v>
      </c>
      <c r="B78" s="13" t="s">
        <v>76</v>
      </c>
      <c r="C78" s="13" t="str">
        <f t="shared" si="42"/>
        <v>085394C</v>
      </c>
      <c r="D78" s="13" t="str">
        <f t="shared" si="42"/>
        <v>S 60th Street</v>
      </c>
      <c r="E78" s="9">
        <f t="shared" si="42"/>
        <v>6.04</v>
      </c>
      <c r="F78" s="14">
        <f t="shared" si="42"/>
        <v>8</v>
      </c>
      <c r="G78" s="18" t="str">
        <f t="shared" si="42"/>
        <v>Gates</v>
      </c>
      <c r="H78" s="14">
        <f t="shared" si="44"/>
        <v>1.088E-3</v>
      </c>
      <c r="I78" s="14"/>
      <c r="J78" s="14"/>
      <c r="K78" s="14">
        <f t="shared" si="39"/>
        <v>740</v>
      </c>
      <c r="L78" s="14"/>
      <c r="M78" s="14"/>
      <c r="N78" s="14"/>
      <c r="O78" s="14">
        <v>1.3</v>
      </c>
      <c r="P78" s="10">
        <f t="shared" si="40"/>
        <v>962</v>
      </c>
      <c r="Q78" s="14">
        <f t="shared" si="41"/>
        <v>16</v>
      </c>
      <c r="R78" s="9">
        <f t="shared" si="45"/>
        <v>33.309027322778398</v>
      </c>
      <c r="S78" s="14">
        <v>1</v>
      </c>
      <c r="T78" s="9">
        <f t="shared" si="46"/>
        <v>1.3380321636239008</v>
      </c>
      <c r="U78" s="14">
        <f t="shared" si="37"/>
        <v>14</v>
      </c>
      <c r="V78" s="9">
        <f t="shared" si="47"/>
        <v>1</v>
      </c>
      <c r="W78" s="14" t="s">
        <v>43</v>
      </c>
      <c r="X78" s="9">
        <f t="shared" si="48"/>
        <v>1</v>
      </c>
      <c r="Y78" s="14"/>
      <c r="Z78" s="9">
        <f t="shared" si="49"/>
        <v>1</v>
      </c>
      <c r="AA78" s="14"/>
      <c r="AB78" s="9">
        <f t="shared" si="50"/>
        <v>1</v>
      </c>
      <c r="AC78" s="14">
        <f t="shared" si="43"/>
        <v>2</v>
      </c>
      <c r="AD78" s="9">
        <f t="shared" si="51"/>
        <v>1.1091567034898182</v>
      </c>
      <c r="AE78" s="15">
        <f t="shared" si="52"/>
        <v>5.3783654400673994E-2</v>
      </c>
      <c r="AF78" s="10">
        <f t="shared" si="53"/>
        <v>9.6354286787718451</v>
      </c>
      <c r="AG78" s="14">
        <v>5</v>
      </c>
      <c r="AH78" s="9">
        <f t="shared" si="54"/>
        <v>0.65836326972421944</v>
      </c>
      <c r="AI78" s="9">
        <f t="shared" si="55"/>
        <v>5.3783654400673994E-2</v>
      </c>
      <c r="AJ78" s="14"/>
      <c r="AK78" s="9">
        <f t="shared" si="56"/>
        <v>0</v>
      </c>
      <c r="AL78" s="15">
        <f t="shared" si="57"/>
        <v>3.5409182568945131E-2</v>
      </c>
      <c r="AM78" s="16"/>
      <c r="AN78" s="14"/>
      <c r="AO78" s="14"/>
      <c r="AP78" s="14"/>
      <c r="AQ78" s="14"/>
      <c r="AR78" s="14"/>
      <c r="AS78" s="14"/>
      <c r="AT78" s="14"/>
      <c r="AU78" s="14"/>
      <c r="AV78" s="14"/>
      <c r="AW78" s="15">
        <f t="shared" si="58"/>
        <v>1.6337796837311284E-2</v>
      </c>
    </row>
    <row r="79" spans="1:49" s="13" customFormat="1" x14ac:dyDescent="0.25">
      <c r="A79" s="13" t="s">
        <v>67</v>
      </c>
      <c r="B79" s="13" t="s">
        <v>76</v>
      </c>
      <c r="C79" s="13" t="str">
        <f t="shared" si="42"/>
        <v>085396R</v>
      </c>
      <c r="D79" s="13" t="str">
        <f t="shared" si="42"/>
        <v>S 74th Street</v>
      </c>
      <c r="E79" s="9">
        <f t="shared" si="42"/>
        <v>6.9</v>
      </c>
      <c r="F79" s="14">
        <f t="shared" si="42"/>
        <v>8</v>
      </c>
      <c r="G79" s="18" t="str">
        <f t="shared" si="42"/>
        <v>Gates</v>
      </c>
      <c r="H79" s="14">
        <f t="shared" si="44"/>
        <v>1.088E-3</v>
      </c>
      <c r="I79" s="14"/>
      <c r="J79" s="14"/>
      <c r="K79" s="14">
        <f t="shared" si="39"/>
        <v>17210</v>
      </c>
      <c r="L79" s="14"/>
      <c r="M79" s="14"/>
      <c r="N79" s="14"/>
      <c r="O79" s="14">
        <v>1.26</v>
      </c>
      <c r="P79" s="10">
        <f t="shared" si="40"/>
        <v>21684.6</v>
      </c>
      <c r="Q79" s="14">
        <f t="shared" si="41"/>
        <v>16</v>
      </c>
      <c r="R79" s="9">
        <f t="shared" si="45"/>
        <v>87.932151402825923</v>
      </c>
      <c r="S79" s="14">
        <v>1</v>
      </c>
      <c r="T79" s="9">
        <f t="shared" si="46"/>
        <v>1.3380321636239008</v>
      </c>
      <c r="U79" s="14">
        <f t="shared" si="37"/>
        <v>14</v>
      </c>
      <c r="V79" s="9">
        <f t="shared" si="47"/>
        <v>1</v>
      </c>
      <c r="W79" s="14" t="s">
        <v>43</v>
      </c>
      <c r="X79" s="9">
        <f t="shared" si="48"/>
        <v>1</v>
      </c>
      <c r="Y79" s="14"/>
      <c r="Z79" s="9">
        <f t="shared" si="49"/>
        <v>1</v>
      </c>
      <c r="AA79" s="14"/>
      <c r="AB79" s="9">
        <f t="shared" si="50"/>
        <v>1</v>
      </c>
      <c r="AC79" s="14">
        <f t="shared" si="43"/>
        <v>5</v>
      </c>
      <c r="AD79" s="9">
        <f t="shared" si="51"/>
        <v>1.5134623907798572</v>
      </c>
      <c r="AE79" s="15">
        <f t="shared" si="52"/>
        <v>0.1937379860345495</v>
      </c>
      <c r="AF79" s="10">
        <f t="shared" si="53"/>
        <v>4.1027663199705424</v>
      </c>
      <c r="AG79" s="14">
        <v>5</v>
      </c>
      <c r="AH79" s="9">
        <f t="shared" si="54"/>
        <v>0.45071642792471683</v>
      </c>
      <c r="AI79" s="9">
        <f t="shared" si="55"/>
        <v>0.1937379860345495</v>
      </c>
      <c r="AJ79" s="14"/>
      <c r="AK79" s="9">
        <f t="shared" si="56"/>
        <v>0</v>
      </c>
      <c r="AL79" s="15">
        <f t="shared" si="57"/>
        <v>8.732089301882083E-2</v>
      </c>
      <c r="AM79" s="16"/>
      <c r="AN79" s="14"/>
      <c r="AO79" s="14"/>
      <c r="AP79" s="14"/>
      <c r="AQ79" s="14"/>
      <c r="AR79" s="14"/>
      <c r="AS79" s="14"/>
      <c r="AT79" s="14"/>
      <c r="AU79" s="14"/>
      <c r="AV79" s="14"/>
      <c r="AW79" s="15">
        <f t="shared" si="58"/>
        <v>4.0289860038883928E-2</v>
      </c>
    </row>
    <row r="80" spans="1:49" s="13" customFormat="1" x14ac:dyDescent="0.25">
      <c r="A80" s="13" t="s">
        <v>67</v>
      </c>
      <c r="B80" s="13" t="s">
        <v>76</v>
      </c>
      <c r="C80" s="13" t="str">
        <f t="shared" si="42"/>
        <v>085400D</v>
      </c>
      <c r="D80" s="13" t="str">
        <f t="shared" si="42"/>
        <v>Steilacoom Blvd SW</v>
      </c>
      <c r="E80" s="9">
        <f t="shared" si="42"/>
        <v>7.89</v>
      </c>
      <c r="F80" s="14">
        <f t="shared" si="42"/>
        <v>8</v>
      </c>
      <c r="G80" s="18" t="str">
        <f t="shared" si="42"/>
        <v>Gates</v>
      </c>
      <c r="H80" s="14">
        <f t="shared" si="44"/>
        <v>1.088E-3</v>
      </c>
      <c r="I80" s="14"/>
      <c r="J80" s="14"/>
      <c r="K80" s="14">
        <f t="shared" si="39"/>
        <v>20080</v>
      </c>
      <c r="L80" s="14"/>
      <c r="M80" s="14"/>
      <c r="N80" s="14"/>
      <c r="O80" s="14">
        <v>1.1000000000000001</v>
      </c>
      <c r="P80" s="10">
        <f t="shared" si="40"/>
        <v>22088</v>
      </c>
      <c r="Q80" s="14">
        <f t="shared" si="41"/>
        <v>16</v>
      </c>
      <c r="R80" s="9">
        <f t="shared" si="45"/>
        <v>88.438638648256017</v>
      </c>
      <c r="S80" s="14">
        <v>1</v>
      </c>
      <c r="T80" s="9">
        <f t="shared" si="46"/>
        <v>1.3380321636239008</v>
      </c>
      <c r="U80" s="14">
        <f t="shared" si="37"/>
        <v>14</v>
      </c>
      <c r="V80" s="9">
        <f t="shared" si="47"/>
        <v>1</v>
      </c>
      <c r="W80" s="14" t="s">
        <v>43</v>
      </c>
      <c r="X80" s="9">
        <f t="shared" si="48"/>
        <v>1</v>
      </c>
      <c r="Y80" s="14"/>
      <c r="Z80" s="9">
        <f t="shared" si="49"/>
        <v>1</v>
      </c>
      <c r="AA80" s="14"/>
      <c r="AB80" s="9">
        <f t="shared" si="50"/>
        <v>1</v>
      </c>
      <c r="AC80" s="14">
        <f t="shared" si="43"/>
        <v>4</v>
      </c>
      <c r="AD80" s="9">
        <f t="shared" si="51"/>
        <v>1.364516290635889</v>
      </c>
      <c r="AE80" s="15">
        <f t="shared" si="52"/>
        <v>0.17567753224773042</v>
      </c>
      <c r="AF80" s="10">
        <f t="shared" si="53"/>
        <v>4.4311012710927802</v>
      </c>
      <c r="AG80" s="14">
        <v>5</v>
      </c>
      <c r="AH80" s="9">
        <f t="shared" si="54"/>
        <v>0.46983922065120071</v>
      </c>
      <c r="AI80" s="9">
        <f t="shared" si="55"/>
        <v>0.17567753224773042</v>
      </c>
      <c r="AJ80" s="14"/>
      <c r="AK80" s="9">
        <f t="shared" si="56"/>
        <v>0</v>
      </c>
      <c r="AL80" s="15">
        <f t="shared" si="57"/>
        <v>8.2540194837199835E-2</v>
      </c>
      <c r="AM80" s="16"/>
      <c r="AN80" s="14"/>
      <c r="AO80" s="14"/>
      <c r="AP80" s="14"/>
      <c r="AQ80" s="14"/>
      <c r="AR80" s="14"/>
      <c r="AS80" s="14"/>
      <c r="AT80" s="14"/>
      <c r="AU80" s="14"/>
      <c r="AV80" s="14"/>
      <c r="AW80" s="15">
        <f t="shared" si="58"/>
        <v>3.8084045897884E-2</v>
      </c>
    </row>
    <row r="81" spans="1:49" s="13" customFormat="1" x14ac:dyDescent="0.25">
      <c r="A81" s="13" t="s">
        <v>67</v>
      </c>
      <c r="B81" s="13" t="s">
        <v>76</v>
      </c>
      <c r="C81" s="13" t="str">
        <f t="shared" ref="C81:G88" si="59">C53</f>
        <v>085402S</v>
      </c>
      <c r="D81" s="13" t="str">
        <f t="shared" si="59"/>
        <v>100th Street SW</v>
      </c>
      <c r="E81" s="9">
        <f t="shared" si="59"/>
        <v>8.59</v>
      </c>
      <c r="F81" s="14">
        <f t="shared" si="59"/>
        <v>8</v>
      </c>
      <c r="G81" s="18" t="str">
        <f t="shared" si="59"/>
        <v>Gates</v>
      </c>
      <c r="H81" s="14">
        <f t="shared" si="44"/>
        <v>1.088E-3</v>
      </c>
      <c r="I81" s="14"/>
      <c r="J81" s="14"/>
      <c r="K81" s="14">
        <f t="shared" si="39"/>
        <v>24230</v>
      </c>
      <c r="L81" s="14"/>
      <c r="M81" s="14"/>
      <c r="N81" s="14"/>
      <c r="O81" s="14">
        <v>1.07</v>
      </c>
      <c r="P81" s="10">
        <f t="shared" si="40"/>
        <v>25926.100000000002</v>
      </c>
      <c r="Q81" s="14">
        <f>2+28</f>
        <v>30</v>
      </c>
      <c r="R81" s="9">
        <f t="shared" si="45"/>
        <v>113.08124467705133</v>
      </c>
      <c r="S81" s="14">
        <v>1</v>
      </c>
      <c r="T81" s="9">
        <f t="shared" si="46"/>
        <v>1.3380321636239008</v>
      </c>
      <c r="U81" s="14">
        <f t="shared" si="37"/>
        <v>28</v>
      </c>
      <c r="V81" s="9">
        <f t="shared" si="47"/>
        <v>1</v>
      </c>
      <c r="W81" s="14" t="s">
        <v>43</v>
      </c>
      <c r="X81" s="9">
        <f t="shared" si="48"/>
        <v>1</v>
      </c>
      <c r="Y81" s="14"/>
      <c r="Z81" s="9">
        <f t="shared" si="49"/>
        <v>1</v>
      </c>
      <c r="AA81" s="14"/>
      <c r="AB81" s="9">
        <f t="shared" si="50"/>
        <v>1</v>
      </c>
      <c r="AC81" s="14">
        <f t="shared" si="43"/>
        <v>5</v>
      </c>
      <c r="AD81" s="9">
        <f t="shared" si="51"/>
        <v>1.5134623907798572</v>
      </c>
      <c r="AE81" s="15">
        <f t="shared" si="52"/>
        <v>0.24914814720782524</v>
      </c>
      <c r="AF81" s="10">
        <f t="shared" si="53"/>
        <v>3.3428253169332738</v>
      </c>
      <c r="AG81" s="14">
        <v>5</v>
      </c>
      <c r="AH81" s="9">
        <f t="shared" si="54"/>
        <v>0.40068264526028191</v>
      </c>
      <c r="AI81" s="9">
        <f t="shared" si="55"/>
        <v>0.24914814720782524</v>
      </c>
      <c r="AJ81" s="14">
        <v>1</v>
      </c>
      <c r="AK81" s="9">
        <f t="shared" si="56"/>
        <v>0.2</v>
      </c>
      <c r="AL81" s="15">
        <f t="shared" si="57"/>
        <v>0.17996586773698592</v>
      </c>
      <c r="AM81" s="16"/>
      <c r="AN81" s="14"/>
      <c r="AO81" s="14"/>
      <c r="AP81" s="14"/>
      <c r="AQ81" s="14"/>
      <c r="AR81" s="14"/>
      <c r="AS81" s="14"/>
      <c r="AT81" s="14"/>
      <c r="AU81" s="14"/>
      <c r="AV81" s="14"/>
      <c r="AW81" s="15">
        <f t="shared" si="58"/>
        <v>8.3036251373845293E-2</v>
      </c>
    </row>
    <row r="82" spans="1:49" s="13" customFormat="1" x14ac:dyDescent="0.25">
      <c r="A82" s="13" t="s">
        <v>67</v>
      </c>
      <c r="B82" s="13" t="s">
        <v>76</v>
      </c>
      <c r="C82" s="13" t="str">
        <f t="shared" si="59"/>
        <v>085404F</v>
      </c>
      <c r="D82" s="13" t="str">
        <f t="shared" si="59"/>
        <v>108th Street SW</v>
      </c>
      <c r="E82" s="9">
        <f t="shared" si="59"/>
        <v>9.09</v>
      </c>
      <c r="F82" s="14">
        <f t="shared" si="59"/>
        <v>8</v>
      </c>
      <c r="G82" s="18" t="str">
        <f t="shared" si="59"/>
        <v>Gates</v>
      </c>
      <c r="H82" s="14">
        <f t="shared" si="44"/>
        <v>1.088E-3</v>
      </c>
      <c r="I82" s="14"/>
      <c r="J82" s="14"/>
      <c r="K82" s="14">
        <f t="shared" si="39"/>
        <v>13130</v>
      </c>
      <c r="L82" s="14"/>
      <c r="M82" s="14"/>
      <c r="N82" s="14"/>
      <c r="O82" s="14">
        <v>1.1100000000000001</v>
      </c>
      <c r="P82" s="10">
        <f t="shared" si="40"/>
        <v>14574.300000000001</v>
      </c>
      <c r="Q82" s="14">
        <f>2+28</f>
        <v>30</v>
      </c>
      <c r="R82" s="9">
        <f t="shared" si="45"/>
        <v>94.502658724913459</v>
      </c>
      <c r="S82" s="14">
        <v>1</v>
      </c>
      <c r="T82" s="9">
        <f t="shared" si="46"/>
        <v>1.3380321636239008</v>
      </c>
      <c r="U82" s="14">
        <f t="shared" si="37"/>
        <v>28</v>
      </c>
      <c r="V82" s="9">
        <f t="shared" si="47"/>
        <v>1</v>
      </c>
      <c r="W82" s="14" t="s">
        <v>43</v>
      </c>
      <c r="X82" s="9">
        <f t="shared" si="48"/>
        <v>1</v>
      </c>
      <c r="Y82" s="14"/>
      <c r="Z82" s="9">
        <f t="shared" si="49"/>
        <v>1</v>
      </c>
      <c r="AA82" s="14"/>
      <c r="AB82" s="9">
        <f t="shared" si="50"/>
        <v>1</v>
      </c>
      <c r="AC82" s="14">
        <f t="shared" si="43"/>
        <v>2</v>
      </c>
      <c r="AD82" s="9">
        <f t="shared" si="51"/>
        <v>1.1091567034898182</v>
      </c>
      <c r="AE82" s="15">
        <f t="shared" si="52"/>
        <v>0.15259221734552955</v>
      </c>
      <c r="AF82" s="10">
        <f t="shared" si="53"/>
        <v>4.9360237678550991</v>
      </c>
      <c r="AG82" s="14">
        <v>5</v>
      </c>
      <c r="AH82" s="9">
        <f t="shared" si="54"/>
        <v>0.49678059183232454</v>
      </c>
      <c r="AI82" s="9">
        <f t="shared" si="55"/>
        <v>0.15259221734552955</v>
      </c>
      <c r="AJ82" s="14"/>
      <c r="AK82" s="9">
        <f t="shared" si="56"/>
        <v>0</v>
      </c>
      <c r="AL82" s="15">
        <f t="shared" si="57"/>
        <v>7.5804852041918863E-2</v>
      </c>
      <c r="AM82" s="16"/>
      <c r="AN82" s="14"/>
      <c r="AO82" s="14"/>
      <c r="AP82" s="14"/>
      <c r="AQ82" s="14"/>
      <c r="AR82" s="14"/>
      <c r="AS82" s="14"/>
      <c r="AT82" s="14"/>
      <c r="AU82" s="14"/>
      <c r="AV82" s="14"/>
      <c r="AW82" s="15">
        <f t="shared" si="58"/>
        <v>3.497635873214136E-2</v>
      </c>
    </row>
    <row r="83" spans="1:49" s="13" customFormat="1" x14ac:dyDescent="0.25">
      <c r="A83" s="13" t="s">
        <v>67</v>
      </c>
      <c r="B83" s="13" t="s">
        <v>76</v>
      </c>
      <c r="C83" s="13" t="str">
        <f t="shared" si="59"/>
        <v>085821P</v>
      </c>
      <c r="D83" s="13" t="str">
        <f t="shared" si="59"/>
        <v>Bridgeport Way SW</v>
      </c>
      <c r="E83" s="9">
        <f t="shared" si="59"/>
        <v>10.8</v>
      </c>
      <c r="F83" s="14">
        <f t="shared" si="59"/>
        <v>7</v>
      </c>
      <c r="G83" s="18" t="str">
        <f t="shared" si="59"/>
        <v>Lights</v>
      </c>
      <c r="H83" s="14">
        <f t="shared" si="44"/>
        <v>3.6459999999999999E-3</v>
      </c>
      <c r="I83" s="14"/>
      <c r="J83" s="14"/>
      <c r="K83" s="14">
        <f t="shared" si="39"/>
        <v>19210</v>
      </c>
      <c r="L83" s="14"/>
      <c r="M83" s="14"/>
      <c r="N83" s="14"/>
      <c r="O83" s="14">
        <v>1.19</v>
      </c>
      <c r="P83" s="10">
        <f t="shared" si="40"/>
        <v>22859.899999999998</v>
      </c>
      <c r="Q83" s="14">
        <v>2</v>
      </c>
      <c r="R83" s="9">
        <f t="shared" si="45"/>
        <v>38.241525595233298</v>
      </c>
      <c r="S83" s="14">
        <v>1</v>
      </c>
      <c r="T83" s="9">
        <f t="shared" si="46"/>
        <v>1.1149393401731398</v>
      </c>
      <c r="U83" s="14">
        <f t="shared" si="37"/>
        <v>0</v>
      </c>
      <c r="V83" s="9">
        <f t="shared" si="47"/>
        <v>1</v>
      </c>
      <c r="W83" s="14" t="s">
        <v>43</v>
      </c>
      <c r="X83" s="9">
        <f t="shared" si="48"/>
        <v>1</v>
      </c>
      <c r="Y83" s="14"/>
      <c r="Z83" s="9">
        <f t="shared" si="49"/>
        <v>1</v>
      </c>
      <c r="AA83" s="14"/>
      <c r="AB83" s="9">
        <f t="shared" si="50"/>
        <v>1</v>
      </c>
      <c r="AC83" s="14">
        <f t="shared" si="43"/>
        <v>4</v>
      </c>
      <c r="AD83" s="9">
        <f t="shared" si="51"/>
        <v>1.5128571268843947</v>
      </c>
      <c r="AE83" s="15">
        <f t="shared" si="52"/>
        <v>0.23518034818929104</v>
      </c>
      <c r="AF83" s="10">
        <f t="shared" si="53"/>
        <v>3.5065529807693512</v>
      </c>
      <c r="AG83" s="14">
        <v>5</v>
      </c>
      <c r="AH83" s="9">
        <f t="shared" si="54"/>
        <v>0.41221785001475542</v>
      </c>
      <c r="AI83" s="9">
        <f t="shared" si="55"/>
        <v>0.23518034818929104</v>
      </c>
      <c r="AJ83" s="14"/>
      <c r="AK83" s="9">
        <f t="shared" si="56"/>
        <v>0</v>
      </c>
      <c r="AL83" s="15">
        <f t="shared" si="57"/>
        <v>9.6945537496311129E-2</v>
      </c>
      <c r="AM83" s="16"/>
      <c r="AN83" s="14"/>
      <c r="AO83" s="14"/>
      <c r="AP83" s="14"/>
      <c r="AQ83" s="14"/>
      <c r="AR83" s="14"/>
      <c r="AS83" s="14"/>
      <c r="AT83" s="14"/>
      <c r="AU83" s="14"/>
      <c r="AV83" s="14"/>
      <c r="AW83" s="15">
        <f t="shared" si="58"/>
        <v>2.8288707841423587E-2</v>
      </c>
    </row>
    <row r="84" spans="1:49" s="13" customFormat="1" x14ac:dyDescent="0.25">
      <c r="A84" s="13" t="s">
        <v>67</v>
      </c>
      <c r="B84" s="13" t="s">
        <v>76</v>
      </c>
      <c r="C84" s="13" t="str">
        <f t="shared" si="59"/>
        <v>085822W</v>
      </c>
      <c r="D84" s="13" t="str">
        <f t="shared" si="59"/>
        <v>Clover Creek Dr SW</v>
      </c>
      <c r="E84" s="9">
        <f t="shared" si="59"/>
        <v>1.1599999999999999</v>
      </c>
      <c r="F84" s="14">
        <f t="shared" si="59"/>
        <v>3</v>
      </c>
      <c r="G84" s="18" t="str">
        <f t="shared" si="59"/>
        <v>Passive</v>
      </c>
      <c r="H84" s="14">
        <f t="shared" si="44"/>
        <v>2.2680000000000001E-3</v>
      </c>
      <c r="I84" s="14"/>
      <c r="J84" s="14"/>
      <c r="K84" s="14">
        <f t="shared" si="39"/>
        <v>1280</v>
      </c>
      <c r="L84" s="14"/>
      <c r="M84" s="14"/>
      <c r="N84" s="14"/>
      <c r="O84" s="14">
        <v>1.37</v>
      </c>
      <c r="P84" s="10">
        <f t="shared" si="40"/>
        <v>1753.6000000000001</v>
      </c>
      <c r="Q84" s="14">
        <v>2</v>
      </c>
      <c r="R84" s="9">
        <f t="shared" si="45"/>
        <v>25.997686217772081</v>
      </c>
      <c r="S84" s="14">
        <v>1</v>
      </c>
      <c r="T84" s="9">
        <f t="shared" si="46"/>
        <v>1.2329380751384142</v>
      </c>
      <c r="U84" s="14">
        <f t="shared" si="37"/>
        <v>0</v>
      </c>
      <c r="V84" s="9">
        <f t="shared" si="47"/>
        <v>1</v>
      </c>
      <c r="W84" s="14" t="s">
        <v>43</v>
      </c>
      <c r="X84" s="9">
        <f t="shared" si="48"/>
        <v>1</v>
      </c>
      <c r="Y84" s="14">
        <v>10</v>
      </c>
      <c r="Z84" s="9">
        <f t="shared" si="49"/>
        <v>1.0800420763926004</v>
      </c>
      <c r="AA84" s="14">
        <f>AA56</f>
        <v>5</v>
      </c>
      <c r="AB84" s="9">
        <f t="shared" si="50"/>
        <v>0.67032004603563933</v>
      </c>
      <c r="AC84" s="14">
        <f t="shared" si="43"/>
        <v>2</v>
      </c>
      <c r="AD84" s="9">
        <f t="shared" si="51"/>
        <v>1</v>
      </c>
      <c r="AE84" s="15">
        <f t="shared" si="52"/>
        <v>5.2631033081101834E-2</v>
      </c>
      <c r="AF84" s="10">
        <f t="shared" si="53"/>
        <v>9.7436415670664918</v>
      </c>
      <c r="AG84" s="14">
        <v>5</v>
      </c>
      <c r="AH84" s="9">
        <f t="shared" si="54"/>
        <v>0.66087075725113154</v>
      </c>
      <c r="AI84" s="9">
        <f t="shared" si="55"/>
        <v>5.2631033081101834E-2</v>
      </c>
      <c r="AJ84" s="14"/>
      <c r="AK84" s="9">
        <f t="shared" si="56"/>
        <v>0</v>
      </c>
      <c r="AL84" s="15">
        <f t="shared" si="57"/>
        <v>3.478231068721712E-2</v>
      </c>
      <c r="AM84" s="16"/>
      <c r="AN84" s="14"/>
      <c r="AO84" s="14"/>
      <c r="AP84" s="14"/>
      <c r="AQ84" s="14"/>
      <c r="AR84" s="14"/>
      <c r="AS84" s="14"/>
      <c r="AT84" s="14"/>
      <c r="AU84" s="14"/>
      <c r="AV84" s="14"/>
      <c r="AW84" s="15">
        <f t="shared" si="58"/>
        <v>1.6045079920013257E-2</v>
      </c>
    </row>
    <row r="85" spans="1:49" s="13" customFormat="1" x14ac:dyDescent="0.25">
      <c r="A85" s="13" t="s">
        <v>67</v>
      </c>
      <c r="B85" s="13" t="s">
        <v>76</v>
      </c>
      <c r="C85" s="13" t="str">
        <f t="shared" si="59"/>
        <v>085828M</v>
      </c>
      <c r="D85" s="13" t="str">
        <f t="shared" si="59"/>
        <v>N Thorne Lane SW</v>
      </c>
      <c r="E85" s="9">
        <f t="shared" si="59"/>
        <v>3.05</v>
      </c>
      <c r="F85" s="14">
        <f t="shared" si="59"/>
        <v>7</v>
      </c>
      <c r="G85" s="18" t="str">
        <f t="shared" si="59"/>
        <v>Lights</v>
      </c>
      <c r="H85" s="14">
        <f t="shared" si="44"/>
        <v>3.6459999999999999E-3</v>
      </c>
      <c r="I85" s="14"/>
      <c r="J85" s="14"/>
      <c r="K85" s="14">
        <f t="shared" si="39"/>
        <v>8740</v>
      </c>
      <c r="L85" s="14"/>
      <c r="M85" s="14"/>
      <c r="N85" s="14"/>
      <c r="O85" s="14">
        <v>1.27</v>
      </c>
      <c r="P85" s="10">
        <f t="shared" si="40"/>
        <v>11099.8</v>
      </c>
      <c r="Q85" s="14">
        <v>2</v>
      </c>
      <c r="R85" s="9">
        <f t="shared" si="45"/>
        <v>30.894610214012872</v>
      </c>
      <c r="S85" s="14">
        <v>1</v>
      </c>
      <c r="T85" s="9">
        <f t="shared" si="46"/>
        <v>1.1149393401731398</v>
      </c>
      <c r="U85" s="14">
        <f t="shared" si="37"/>
        <v>0</v>
      </c>
      <c r="V85" s="9">
        <f t="shared" si="47"/>
        <v>1</v>
      </c>
      <c r="W85" s="14" t="s">
        <v>43</v>
      </c>
      <c r="X85" s="9">
        <f t="shared" si="48"/>
        <v>1</v>
      </c>
      <c r="Y85" s="14"/>
      <c r="Z85" s="9">
        <f t="shared" si="49"/>
        <v>1</v>
      </c>
      <c r="AA85" s="14"/>
      <c r="AB85" s="9">
        <f t="shared" si="50"/>
        <v>1</v>
      </c>
      <c r="AC85" s="14">
        <f t="shared" si="43"/>
        <v>3</v>
      </c>
      <c r="AD85" s="9">
        <f t="shared" si="51"/>
        <v>1.3178478640273033</v>
      </c>
      <c r="AE85" s="15">
        <f t="shared" si="52"/>
        <v>0.16550682261298821</v>
      </c>
      <c r="AF85" s="10">
        <f t="shared" si="53"/>
        <v>4.6402243227158593</v>
      </c>
      <c r="AG85" s="14">
        <v>5</v>
      </c>
      <c r="AH85" s="9">
        <f t="shared" si="54"/>
        <v>0.48133987004657253</v>
      </c>
      <c r="AI85" s="9">
        <f t="shared" si="55"/>
        <v>0.16550682261298821</v>
      </c>
      <c r="AJ85" s="14">
        <v>1</v>
      </c>
      <c r="AK85" s="9">
        <f t="shared" si="56"/>
        <v>0.2</v>
      </c>
      <c r="AL85" s="15">
        <f t="shared" si="57"/>
        <v>0.17593300649767141</v>
      </c>
      <c r="AM85" s="16"/>
      <c r="AN85" s="14"/>
      <c r="AO85" s="14"/>
      <c r="AP85" s="14"/>
      <c r="AQ85" s="14"/>
      <c r="AR85" s="14"/>
      <c r="AS85" s="14"/>
      <c r="AT85" s="14"/>
      <c r="AU85" s="14"/>
      <c r="AV85" s="14"/>
      <c r="AW85" s="15">
        <f t="shared" si="58"/>
        <v>5.1337251296020514E-2</v>
      </c>
    </row>
    <row r="86" spans="1:49" s="13" customFormat="1" x14ac:dyDescent="0.25">
      <c r="A86" s="13" t="s">
        <v>67</v>
      </c>
      <c r="B86" s="13" t="s">
        <v>76</v>
      </c>
      <c r="C86" s="13" t="str">
        <f t="shared" si="59"/>
        <v>085829U</v>
      </c>
      <c r="D86" s="13" t="str">
        <f t="shared" si="59"/>
        <v>Berkeley Street SW</v>
      </c>
      <c r="E86" s="9">
        <f t="shared" si="59"/>
        <v>3.95</v>
      </c>
      <c r="F86" s="14">
        <f t="shared" si="59"/>
        <v>7</v>
      </c>
      <c r="G86" s="18" t="str">
        <f t="shared" si="59"/>
        <v>Lights</v>
      </c>
      <c r="H86" s="14">
        <f t="shared" si="44"/>
        <v>3.6459999999999999E-3</v>
      </c>
      <c r="I86" s="14"/>
      <c r="J86" s="14"/>
      <c r="K86" s="14">
        <f t="shared" si="39"/>
        <v>8770</v>
      </c>
      <c r="L86" s="14"/>
      <c r="M86" s="14"/>
      <c r="N86" s="14"/>
      <c r="O86" s="14">
        <v>1.1299999999999999</v>
      </c>
      <c r="P86" s="10">
        <f t="shared" si="40"/>
        <v>9910.0999999999985</v>
      </c>
      <c r="Q86" s="14">
        <v>2</v>
      </c>
      <c r="R86" s="9">
        <f t="shared" si="45"/>
        <v>29.877423176908344</v>
      </c>
      <c r="S86" s="14">
        <v>1</v>
      </c>
      <c r="T86" s="9">
        <f t="shared" si="46"/>
        <v>1.1149393401731398</v>
      </c>
      <c r="U86" s="14">
        <f t="shared" si="37"/>
        <v>0</v>
      </c>
      <c r="V86" s="9">
        <f t="shared" si="47"/>
        <v>1</v>
      </c>
      <c r="W86" s="14" t="s">
        <v>43</v>
      </c>
      <c r="X86" s="9">
        <f t="shared" si="48"/>
        <v>1</v>
      </c>
      <c r="Y86" s="14"/>
      <c r="Z86" s="9">
        <f t="shared" si="49"/>
        <v>1</v>
      </c>
      <c r="AA86" s="14"/>
      <c r="AB86" s="9">
        <f t="shared" si="50"/>
        <v>1</v>
      </c>
      <c r="AC86" s="14">
        <f t="shared" si="43"/>
        <v>3</v>
      </c>
      <c r="AD86" s="9">
        <f t="shared" si="51"/>
        <v>1.3178478640273033</v>
      </c>
      <c r="AE86" s="15">
        <f t="shared" si="52"/>
        <v>0.16005760692947293</v>
      </c>
      <c r="AF86" s="10">
        <f t="shared" si="53"/>
        <v>4.760598840563536</v>
      </c>
      <c r="AG86" s="14">
        <v>5</v>
      </c>
      <c r="AH86" s="9">
        <f t="shared" si="54"/>
        <v>0.48773634879647193</v>
      </c>
      <c r="AI86" s="9">
        <f t="shared" si="55"/>
        <v>0.16005760692947293</v>
      </c>
      <c r="AJ86" s="14"/>
      <c r="AK86" s="9">
        <f t="shared" si="56"/>
        <v>0</v>
      </c>
      <c r="AL86" s="15">
        <f t="shared" si="57"/>
        <v>7.8065912800882015E-2</v>
      </c>
      <c r="AM86" s="16"/>
      <c r="AN86" s="14"/>
      <c r="AO86" s="14"/>
      <c r="AP86" s="14"/>
      <c r="AQ86" s="14"/>
      <c r="AR86" s="14"/>
      <c r="AS86" s="14"/>
      <c r="AT86" s="14"/>
      <c r="AU86" s="14"/>
      <c r="AV86" s="14"/>
      <c r="AW86" s="15">
        <f t="shared" si="58"/>
        <v>2.2779633355297372E-2</v>
      </c>
    </row>
    <row r="87" spans="1:49" s="13" customFormat="1" x14ac:dyDescent="0.25">
      <c r="A87" s="13" t="s">
        <v>67</v>
      </c>
      <c r="B87" s="13" t="s">
        <v>76</v>
      </c>
      <c r="C87" s="13" t="str">
        <f t="shared" si="59"/>
        <v>085830N</v>
      </c>
      <c r="D87" s="13" t="str">
        <f t="shared" si="59"/>
        <v>41st Division Dr</v>
      </c>
      <c r="E87" s="9">
        <f t="shared" si="59"/>
        <v>5.73</v>
      </c>
      <c r="F87" s="14">
        <f t="shared" si="59"/>
        <v>7</v>
      </c>
      <c r="G87" s="18" t="str">
        <f t="shared" si="59"/>
        <v>Lights</v>
      </c>
      <c r="H87" s="14">
        <f t="shared" si="44"/>
        <v>3.6459999999999999E-3</v>
      </c>
      <c r="I87" s="14"/>
      <c r="J87" s="14"/>
      <c r="K87" s="14">
        <f t="shared" si="39"/>
        <v>19230</v>
      </c>
      <c r="L87" s="14"/>
      <c r="M87" s="14"/>
      <c r="N87" s="14"/>
      <c r="O87" s="14">
        <v>1.18</v>
      </c>
      <c r="P87" s="10">
        <f t="shared" si="40"/>
        <v>22691.399999999998</v>
      </c>
      <c r="Q87" s="14">
        <v>2</v>
      </c>
      <c r="R87" s="9">
        <f t="shared" si="45"/>
        <v>38.158070368880331</v>
      </c>
      <c r="S87" s="14">
        <v>1</v>
      </c>
      <c r="T87" s="9">
        <f t="shared" si="46"/>
        <v>1.1149393401731398</v>
      </c>
      <c r="U87" s="14">
        <f t="shared" si="37"/>
        <v>0</v>
      </c>
      <c r="V87" s="9">
        <f t="shared" si="47"/>
        <v>1</v>
      </c>
      <c r="W87" s="14" t="s">
        <v>43</v>
      </c>
      <c r="X87" s="9">
        <f t="shared" si="48"/>
        <v>1</v>
      </c>
      <c r="Y87" s="14"/>
      <c r="Z87" s="9">
        <f t="shared" si="49"/>
        <v>1</v>
      </c>
      <c r="AA87" s="14"/>
      <c r="AB87" s="9">
        <f t="shared" si="50"/>
        <v>1</v>
      </c>
      <c r="AC87" s="14">
        <f t="shared" si="43"/>
        <v>5</v>
      </c>
      <c r="AD87" s="9">
        <f t="shared" si="51"/>
        <v>1.7367229927213259</v>
      </c>
      <c r="AE87" s="15">
        <f t="shared" si="52"/>
        <v>0.26939210419797027</v>
      </c>
      <c r="AF87" s="10">
        <f t="shared" si="53"/>
        <v>3.130947781289438</v>
      </c>
      <c r="AG87" s="14">
        <v>5</v>
      </c>
      <c r="AH87" s="9">
        <f t="shared" si="54"/>
        <v>0.38506553793079706</v>
      </c>
      <c r="AI87" s="9">
        <f t="shared" si="55"/>
        <v>0.26939210419797027</v>
      </c>
      <c r="AJ87" s="14"/>
      <c r="AK87" s="9">
        <f t="shared" si="56"/>
        <v>0</v>
      </c>
      <c r="AL87" s="15">
        <f t="shared" si="57"/>
        <v>0.10373361551730076</v>
      </c>
      <c r="AM87" s="16"/>
      <c r="AN87" s="14"/>
      <c r="AO87" s="14"/>
      <c r="AP87" s="14"/>
      <c r="AQ87" s="14"/>
      <c r="AR87" s="14"/>
      <c r="AS87" s="14"/>
      <c r="AT87" s="14"/>
      <c r="AU87" s="14"/>
      <c r="AV87" s="14"/>
      <c r="AW87" s="15">
        <f t="shared" si="58"/>
        <v>3.0269469007948361E-2</v>
      </c>
    </row>
    <row r="88" spans="1:49" s="13" customFormat="1" x14ac:dyDescent="0.25">
      <c r="A88" s="13" t="s">
        <v>67</v>
      </c>
      <c r="B88" s="13" t="s">
        <v>76</v>
      </c>
      <c r="C88" s="13" t="str">
        <f t="shared" si="59"/>
        <v>085836E</v>
      </c>
      <c r="D88" s="13" t="str">
        <f t="shared" si="59"/>
        <v>Barksdale Ave</v>
      </c>
      <c r="E88" s="9">
        <f t="shared" si="59"/>
        <v>7.59</v>
      </c>
      <c r="F88" s="14">
        <f t="shared" si="59"/>
        <v>8</v>
      </c>
      <c r="G88" s="18" t="str">
        <f t="shared" si="59"/>
        <v>Gates</v>
      </c>
      <c r="H88" s="14">
        <f t="shared" si="44"/>
        <v>1.088E-3</v>
      </c>
      <c r="I88" s="14"/>
      <c r="J88" s="14"/>
      <c r="K88" s="14">
        <f t="shared" si="39"/>
        <v>14650</v>
      </c>
      <c r="L88" s="14"/>
      <c r="M88" s="14"/>
      <c r="N88" s="14"/>
      <c r="O88" s="14">
        <v>1.23</v>
      </c>
      <c r="P88" s="10">
        <f t="shared" si="40"/>
        <v>18019.5</v>
      </c>
      <c r="Q88" s="14">
        <v>2</v>
      </c>
      <c r="R88" s="9">
        <f t="shared" si="45"/>
        <v>43.420036837589443</v>
      </c>
      <c r="S88" s="14">
        <v>1</v>
      </c>
      <c r="T88" s="9">
        <f t="shared" si="46"/>
        <v>1.3380321636239008</v>
      </c>
      <c r="U88" s="14">
        <f t="shared" si="37"/>
        <v>0</v>
      </c>
      <c r="V88" s="9">
        <f t="shared" si="47"/>
        <v>1</v>
      </c>
      <c r="W88" s="14" t="s">
        <v>43</v>
      </c>
      <c r="X88" s="9">
        <f t="shared" si="48"/>
        <v>1</v>
      </c>
      <c r="Y88" s="14"/>
      <c r="Z88" s="9">
        <f t="shared" si="49"/>
        <v>1</v>
      </c>
      <c r="AA88" s="14"/>
      <c r="AB88" s="9">
        <f t="shared" si="50"/>
        <v>1</v>
      </c>
      <c r="AC88" s="14">
        <f t="shared" si="43"/>
        <v>3</v>
      </c>
      <c r="AD88" s="9">
        <f t="shared" si="51"/>
        <v>1.2302285928964003</v>
      </c>
      <c r="AE88" s="15">
        <f t="shared" si="52"/>
        <v>7.776272173571569E-2</v>
      </c>
      <c r="AF88" s="10">
        <f t="shared" si="53"/>
        <v>7.8270092121906716</v>
      </c>
      <c r="AG88" s="14">
        <v>5</v>
      </c>
      <c r="AH88" s="9">
        <f t="shared" si="54"/>
        <v>0.61019752014771722</v>
      </c>
      <c r="AI88" s="9">
        <f t="shared" si="55"/>
        <v>7.776272173571569E-2</v>
      </c>
      <c r="AJ88" s="14"/>
      <c r="AK88" s="9">
        <f t="shared" si="56"/>
        <v>0</v>
      </c>
      <c r="AL88" s="15">
        <f t="shared" si="57"/>
        <v>4.7450619963070699E-2</v>
      </c>
      <c r="AM88" s="16"/>
      <c r="AN88" s="14"/>
      <c r="AO88" s="14"/>
      <c r="AP88" s="14"/>
      <c r="AQ88" s="14"/>
      <c r="AR88" s="14"/>
      <c r="AS88" s="14"/>
      <c r="AT88" s="14"/>
      <c r="AU88" s="14"/>
      <c r="AV88" s="14"/>
      <c r="AW88" s="15">
        <f t="shared" si="58"/>
        <v>2.1893716050960819E-2</v>
      </c>
    </row>
    <row r="89" spans="1:49" s="13" customFormat="1" x14ac:dyDescent="0.25">
      <c r="A89" s="13" t="s">
        <v>66</v>
      </c>
      <c r="B89" s="13" t="s">
        <v>75</v>
      </c>
      <c r="C89" s="13" t="str">
        <f t="shared" ref="C89:G98" si="60">C33</f>
        <v>085714A</v>
      </c>
      <c r="D89" s="13" t="str">
        <f t="shared" si="60"/>
        <v>E "D" St</v>
      </c>
      <c r="E89" s="9">
        <f t="shared" si="60"/>
        <v>39.64</v>
      </c>
      <c r="F89" s="14">
        <f t="shared" si="60"/>
        <v>8</v>
      </c>
      <c r="G89" s="18" t="str">
        <f t="shared" si="60"/>
        <v>Gates</v>
      </c>
      <c r="H89" s="14">
        <f t="shared" si="44"/>
        <v>1.088E-3</v>
      </c>
      <c r="I89" s="14">
        <v>5620</v>
      </c>
      <c r="J89" s="14"/>
      <c r="K89" s="14"/>
      <c r="L89" s="14"/>
      <c r="M89" s="14"/>
      <c r="N89" s="14"/>
      <c r="O89" s="9">
        <v>1.0676156583629892</v>
      </c>
      <c r="P89" s="10">
        <f t="shared" ref="P89:P95" si="61">I89*O89</f>
        <v>5999.9999999999991</v>
      </c>
      <c r="Q89" s="14">
        <v>58</v>
      </c>
      <c r="R89" s="9">
        <f t="shared" si="45"/>
        <v>88.014702133583711</v>
      </c>
      <c r="S89" s="14">
        <f t="shared" ref="S89:S95" si="62">S33</f>
        <v>2</v>
      </c>
      <c r="T89" s="9">
        <f t="shared" si="46"/>
        <v>1.7903300708920569</v>
      </c>
      <c r="U89" s="14">
        <f t="shared" ref="U89:U116" si="63">Q89-(Q33-U33)</f>
        <v>45</v>
      </c>
      <c r="V89" s="9">
        <f t="shared" si="47"/>
        <v>1</v>
      </c>
      <c r="W89" s="14" t="s">
        <v>43</v>
      </c>
      <c r="X89" s="9">
        <f t="shared" si="48"/>
        <v>1</v>
      </c>
      <c r="Y89" s="14"/>
      <c r="Z89" s="9">
        <f t="shared" si="49"/>
        <v>1</v>
      </c>
      <c r="AA89" s="14"/>
      <c r="AB89" s="9">
        <f t="shared" si="50"/>
        <v>1</v>
      </c>
      <c r="AC89" s="14">
        <f t="shared" ref="AC89:AC116" si="64">AC33</f>
        <v>5</v>
      </c>
      <c r="AD89" s="9">
        <f t="shared" si="51"/>
        <v>1.5134623907798572</v>
      </c>
      <c r="AE89" s="15">
        <f t="shared" si="52"/>
        <v>0.25947101963364799</v>
      </c>
      <c r="AF89" s="10">
        <f t="shared" si="53"/>
        <v>3.2313203387632248</v>
      </c>
      <c r="AG89" s="14">
        <v>5</v>
      </c>
      <c r="AH89" s="9">
        <f t="shared" si="54"/>
        <v>0.39256403660372402</v>
      </c>
      <c r="AI89" s="9">
        <f t="shared" si="55"/>
        <v>0.25947101963364799</v>
      </c>
      <c r="AJ89" s="10"/>
      <c r="AK89" s="9">
        <f t="shared" si="56"/>
        <v>0</v>
      </c>
      <c r="AL89" s="15">
        <f t="shared" si="57"/>
        <v>0.10185899084906898</v>
      </c>
      <c r="AM89" s="16"/>
      <c r="AN89" s="14"/>
      <c r="AO89" s="14"/>
      <c r="AP89" s="14"/>
      <c r="AQ89" s="14"/>
      <c r="AR89" s="14"/>
      <c r="AS89" s="14"/>
      <c r="AT89" s="14"/>
      <c r="AU89" s="14"/>
      <c r="AV89" s="14"/>
      <c r="AW89" s="15">
        <f t="shared" si="58"/>
        <v>4.6997738377760424E-2</v>
      </c>
    </row>
    <row r="90" spans="1:49" s="13" customFormat="1" x14ac:dyDescent="0.25">
      <c r="A90" s="13" t="s">
        <v>66</v>
      </c>
      <c r="B90" s="13" t="s">
        <v>75</v>
      </c>
      <c r="C90" s="13" t="str">
        <f t="shared" si="60"/>
        <v>085730J</v>
      </c>
      <c r="D90" s="13" t="str">
        <f t="shared" si="60"/>
        <v>McCarver</v>
      </c>
      <c r="E90" s="9">
        <f t="shared" si="60"/>
        <v>2.69</v>
      </c>
      <c r="F90" s="14">
        <f t="shared" si="60"/>
        <v>8</v>
      </c>
      <c r="G90" s="18" t="str">
        <f t="shared" si="60"/>
        <v>Gates</v>
      </c>
      <c r="H90" s="14">
        <f t="shared" si="44"/>
        <v>1.088E-3</v>
      </c>
      <c r="I90" s="14">
        <v>4240</v>
      </c>
      <c r="J90" s="14"/>
      <c r="K90" s="14"/>
      <c r="L90" s="14"/>
      <c r="M90" s="14"/>
      <c r="N90" s="14"/>
      <c r="O90" s="9">
        <v>1.0613207547169812</v>
      </c>
      <c r="P90" s="10">
        <f t="shared" si="61"/>
        <v>4500</v>
      </c>
      <c r="Q90" s="14">
        <v>58</v>
      </c>
      <c r="R90" s="9">
        <f t="shared" si="45"/>
        <v>80.468209721976208</v>
      </c>
      <c r="S90" s="14">
        <f t="shared" si="62"/>
        <v>2</v>
      </c>
      <c r="T90" s="9">
        <f t="shared" si="46"/>
        <v>1.7903300708920569</v>
      </c>
      <c r="U90" s="14">
        <f t="shared" si="63"/>
        <v>45</v>
      </c>
      <c r="V90" s="9">
        <f t="shared" si="47"/>
        <v>1</v>
      </c>
      <c r="W90" s="14" t="s">
        <v>43</v>
      </c>
      <c r="X90" s="9">
        <f t="shared" si="48"/>
        <v>1</v>
      </c>
      <c r="Y90" s="14"/>
      <c r="Z90" s="9">
        <f t="shared" si="49"/>
        <v>1</v>
      </c>
      <c r="AA90" s="14"/>
      <c r="AB90" s="9">
        <f t="shared" si="50"/>
        <v>1</v>
      </c>
      <c r="AC90" s="14">
        <f t="shared" si="64"/>
        <v>2</v>
      </c>
      <c r="AD90" s="9">
        <f t="shared" si="51"/>
        <v>1.1091567034898182</v>
      </c>
      <c r="AE90" s="15">
        <f t="shared" si="52"/>
        <v>0.17385182302165683</v>
      </c>
      <c r="AF90" s="10">
        <f t="shared" si="53"/>
        <v>4.4672408135950432</v>
      </c>
      <c r="AG90" s="14">
        <v>5</v>
      </c>
      <c r="AH90" s="9">
        <f t="shared" si="54"/>
        <v>0.47186301706618095</v>
      </c>
      <c r="AI90" s="9">
        <f t="shared" si="55"/>
        <v>0.17385182302165683</v>
      </c>
      <c r="AJ90" s="10"/>
      <c r="AK90" s="9">
        <f t="shared" si="56"/>
        <v>0</v>
      </c>
      <c r="AL90" s="15">
        <f t="shared" si="57"/>
        <v>8.2034245733454733E-2</v>
      </c>
      <c r="AM90" s="16"/>
      <c r="AN90" s="14"/>
      <c r="AO90" s="14"/>
      <c r="AP90" s="14"/>
      <c r="AQ90" s="14"/>
      <c r="AR90" s="14"/>
      <c r="AS90" s="14"/>
      <c r="AT90" s="14"/>
      <c r="AU90" s="14"/>
      <c r="AV90" s="14"/>
      <c r="AW90" s="15">
        <f t="shared" si="58"/>
        <v>3.7850600981416009E-2</v>
      </c>
    </row>
    <row r="91" spans="1:49" s="13" customFormat="1" x14ac:dyDescent="0.25">
      <c r="A91" s="13" t="s">
        <v>66</v>
      </c>
      <c r="B91" s="13" t="s">
        <v>75</v>
      </c>
      <c r="C91" s="13" t="str">
        <f t="shared" si="60"/>
        <v>085742D</v>
      </c>
      <c r="D91" s="13" t="str">
        <f t="shared" si="60"/>
        <v>6th Ave</v>
      </c>
      <c r="E91" s="9">
        <f t="shared" si="60"/>
        <v>9.75</v>
      </c>
      <c r="F91" s="14">
        <f t="shared" si="60"/>
        <v>8</v>
      </c>
      <c r="G91" s="18" t="str">
        <f t="shared" si="60"/>
        <v>Gates</v>
      </c>
      <c r="H91" s="14">
        <f t="shared" si="44"/>
        <v>1.088E-3</v>
      </c>
      <c r="I91" s="14">
        <v>1921</v>
      </c>
      <c r="J91" s="14"/>
      <c r="K91" s="14"/>
      <c r="L91" s="14"/>
      <c r="M91" s="14"/>
      <c r="N91" s="14"/>
      <c r="O91" s="9">
        <v>1.0411244143675169</v>
      </c>
      <c r="P91" s="10">
        <f t="shared" si="61"/>
        <v>2000</v>
      </c>
      <c r="Q91" s="14">
        <v>58</v>
      </c>
      <c r="R91" s="9">
        <f t="shared" si="45"/>
        <v>62.500630158964462</v>
      </c>
      <c r="S91" s="14">
        <f t="shared" si="62"/>
        <v>2</v>
      </c>
      <c r="T91" s="9">
        <f t="shared" si="46"/>
        <v>1.7903300708920569</v>
      </c>
      <c r="U91" s="14">
        <f t="shared" si="63"/>
        <v>36</v>
      </c>
      <c r="V91" s="9">
        <f t="shared" si="47"/>
        <v>1</v>
      </c>
      <c r="W91" s="14" t="s">
        <v>43</v>
      </c>
      <c r="X91" s="9">
        <f t="shared" si="48"/>
        <v>1</v>
      </c>
      <c r="Y91" s="14"/>
      <c r="Z91" s="9">
        <f t="shared" si="49"/>
        <v>1</v>
      </c>
      <c r="AA91" s="14"/>
      <c r="AB91" s="9">
        <f t="shared" si="50"/>
        <v>1</v>
      </c>
      <c r="AC91" s="14">
        <f t="shared" si="64"/>
        <v>2</v>
      </c>
      <c r="AD91" s="9">
        <f t="shared" si="51"/>
        <v>1.1091567034898182</v>
      </c>
      <c r="AE91" s="15">
        <f t="shared" si="52"/>
        <v>0.13503281023252103</v>
      </c>
      <c r="AF91" s="10">
        <f t="shared" si="53"/>
        <v>5.4044469126494503</v>
      </c>
      <c r="AG91" s="14">
        <v>5</v>
      </c>
      <c r="AH91" s="9">
        <f t="shared" si="54"/>
        <v>0.5194362524046201</v>
      </c>
      <c r="AI91" s="9">
        <f t="shared" si="55"/>
        <v>0.13503281023252103</v>
      </c>
      <c r="AJ91" s="10"/>
      <c r="AK91" s="9">
        <f t="shared" si="56"/>
        <v>0</v>
      </c>
      <c r="AL91" s="15">
        <f t="shared" si="57"/>
        <v>7.0140936898844958E-2</v>
      </c>
      <c r="AM91" s="16"/>
      <c r="AN91" s="14"/>
      <c r="AO91" s="14"/>
      <c r="AP91" s="14"/>
      <c r="AQ91" s="14"/>
      <c r="AR91" s="14"/>
      <c r="AS91" s="14"/>
      <c r="AT91" s="14"/>
      <c r="AU91" s="14"/>
      <c r="AV91" s="14"/>
      <c r="AW91" s="15">
        <f t="shared" si="58"/>
        <v>3.2363028285127063E-2</v>
      </c>
    </row>
    <row r="92" spans="1:49" s="13" customFormat="1" x14ac:dyDescent="0.25">
      <c r="A92" s="13" t="s">
        <v>66</v>
      </c>
      <c r="B92" s="13" t="s">
        <v>75</v>
      </c>
      <c r="C92" s="13" t="str">
        <f t="shared" si="60"/>
        <v>085743K</v>
      </c>
      <c r="D92" s="13" t="str">
        <f t="shared" si="60"/>
        <v>S 19th St</v>
      </c>
      <c r="E92" s="9">
        <f t="shared" si="60"/>
        <v>10.06</v>
      </c>
      <c r="F92" s="14">
        <f t="shared" si="60"/>
        <v>8</v>
      </c>
      <c r="G92" s="18" t="str">
        <f t="shared" si="60"/>
        <v>Gates</v>
      </c>
      <c r="H92" s="14">
        <f t="shared" si="44"/>
        <v>1.088E-3</v>
      </c>
      <c r="I92" s="14">
        <v>7094</v>
      </c>
      <c r="J92" s="14"/>
      <c r="K92" s="14"/>
      <c r="L92" s="14"/>
      <c r="M92" s="14"/>
      <c r="N92" s="14"/>
      <c r="O92" s="9">
        <v>1.0008457851705668</v>
      </c>
      <c r="P92" s="10">
        <f t="shared" si="61"/>
        <v>7100.0000000000009</v>
      </c>
      <c r="Q92" s="14">
        <v>58</v>
      </c>
      <c r="R92" s="9">
        <f t="shared" si="45"/>
        <v>92.754584290266507</v>
      </c>
      <c r="S92" s="14">
        <f t="shared" si="62"/>
        <v>2</v>
      </c>
      <c r="T92" s="9">
        <f t="shared" si="46"/>
        <v>1.7903300708920569</v>
      </c>
      <c r="U92" s="14">
        <f t="shared" si="63"/>
        <v>36</v>
      </c>
      <c r="V92" s="9">
        <f t="shared" si="47"/>
        <v>1</v>
      </c>
      <c r="W92" s="14" t="s">
        <v>43</v>
      </c>
      <c r="X92" s="9">
        <f t="shared" si="48"/>
        <v>1</v>
      </c>
      <c r="Y92" s="14"/>
      <c r="Z92" s="9">
        <f t="shared" si="49"/>
        <v>1</v>
      </c>
      <c r="AA92" s="14"/>
      <c r="AB92" s="9">
        <f t="shared" si="50"/>
        <v>1</v>
      </c>
      <c r="AC92" s="14">
        <f t="shared" si="64"/>
        <v>2</v>
      </c>
      <c r="AD92" s="9">
        <f t="shared" si="51"/>
        <v>1.1091567034898182</v>
      </c>
      <c r="AE92" s="15">
        <f t="shared" si="52"/>
        <v>0.20039657435145858</v>
      </c>
      <c r="AF92" s="10">
        <f t="shared" si="53"/>
        <v>3.9936648597931388</v>
      </c>
      <c r="AG92" s="14">
        <v>5</v>
      </c>
      <c r="AH92" s="9">
        <f t="shared" si="54"/>
        <v>0.44405311094558575</v>
      </c>
      <c r="AI92" s="9">
        <f t="shared" si="55"/>
        <v>0.20039657435145858</v>
      </c>
      <c r="AJ92" s="14"/>
      <c r="AK92" s="9">
        <f t="shared" si="56"/>
        <v>0</v>
      </c>
      <c r="AL92" s="15">
        <f t="shared" si="57"/>
        <v>8.898672226360356E-2</v>
      </c>
      <c r="AM92" s="16"/>
      <c r="AN92" s="14"/>
      <c r="AO92" s="14"/>
      <c r="AP92" s="14"/>
      <c r="AQ92" s="14"/>
      <c r="AR92" s="14"/>
      <c r="AS92" s="14"/>
      <c r="AT92" s="14"/>
      <c r="AU92" s="14"/>
      <c r="AV92" s="14"/>
      <c r="AW92" s="15">
        <f t="shared" si="58"/>
        <v>4.105847365242668E-2</v>
      </c>
    </row>
    <row r="93" spans="1:49" s="13" customFormat="1" x14ac:dyDescent="0.25">
      <c r="A93" s="13" t="s">
        <v>66</v>
      </c>
      <c r="B93" s="13" t="s">
        <v>75</v>
      </c>
      <c r="C93" s="13" t="str">
        <f t="shared" si="60"/>
        <v>085754X</v>
      </c>
      <c r="D93" s="13" t="str">
        <f t="shared" si="60"/>
        <v>Sunnyside Beach Ped</v>
      </c>
      <c r="E93" s="9">
        <f t="shared" si="60"/>
        <v>14.94</v>
      </c>
      <c r="F93" s="14">
        <f t="shared" si="60"/>
        <v>7</v>
      </c>
      <c r="G93" s="18" t="str">
        <f t="shared" si="60"/>
        <v>Lights</v>
      </c>
      <c r="H93" s="14">
        <f t="shared" si="44"/>
        <v>3.6459999999999999E-3</v>
      </c>
      <c r="I93" s="6">
        <v>200</v>
      </c>
      <c r="J93" s="14"/>
      <c r="K93" s="14"/>
      <c r="L93" s="14"/>
      <c r="M93" s="14"/>
      <c r="N93" s="14"/>
      <c r="O93" s="9">
        <v>1.1000000000000001</v>
      </c>
      <c r="P93" s="10">
        <f t="shared" si="61"/>
        <v>220.00000000000003</v>
      </c>
      <c r="Q93" s="14">
        <v>58</v>
      </c>
      <c r="R93" s="9">
        <f t="shared" si="45"/>
        <v>26.234062964073829</v>
      </c>
      <c r="S93" s="14">
        <f t="shared" si="62"/>
        <v>2</v>
      </c>
      <c r="T93" s="9">
        <f t="shared" si="46"/>
        <v>1.2430897322657162</v>
      </c>
      <c r="U93" s="14">
        <f t="shared" si="63"/>
        <v>36</v>
      </c>
      <c r="V93" s="9">
        <f t="shared" si="47"/>
        <v>1.276764777092825</v>
      </c>
      <c r="W93" s="6" t="s">
        <v>43</v>
      </c>
      <c r="X93" s="9">
        <f t="shared" si="48"/>
        <v>1</v>
      </c>
      <c r="Y93" s="14"/>
      <c r="Z93" s="9">
        <f t="shared" si="49"/>
        <v>1</v>
      </c>
      <c r="AA93" s="14"/>
      <c r="AB93" s="9">
        <f t="shared" si="50"/>
        <v>1</v>
      </c>
      <c r="AC93" s="14">
        <f t="shared" si="64"/>
        <v>1</v>
      </c>
      <c r="AD93" s="9">
        <f t="shared" si="51"/>
        <v>1</v>
      </c>
      <c r="AE93" s="15">
        <f t="shared" si="52"/>
        <v>0.15180832664793045</v>
      </c>
      <c r="AF93" s="10">
        <f t="shared" si="53"/>
        <v>4.9551969267580018</v>
      </c>
      <c r="AG93" s="14">
        <v>5</v>
      </c>
      <c r="AH93" s="9">
        <f t="shared" si="54"/>
        <v>0.49774976459171916</v>
      </c>
      <c r="AI93" s="9">
        <f t="shared" si="55"/>
        <v>0.15180832664793045</v>
      </c>
      <c r="AJ93" s="14">
        <v>1</v>
      </c>
      <c r="AK93" s="9">
        <f t="shared" si="56"/>
        <v>0.2</v>
      </c>
      <c r="AL93" s="15">
        <f t="shared" si="57"/>
        <v>0.17511251177041404</v>
      </c>
      <c r="AM93" s="16"/>
      <c r="AN93" s="14"/>
      <c r="AO93" s="14"/>
      <c r="AP93" s="14"/>
      <c r="AQ93" s="14"/>
      <c r="AR93" s="14"/>
      <c r="AS93" s="14"/>
      <c r="AT93" s="14"/>
      <c r="AU93" s="14"/>
      <c r="AV93" s="14"/>
      <c r="AW93" s="15">
        <f t="shared" si="58"/>
        <v>5.1097830934606819E-2</v>
      </c>
    </row>
    <row r="94" spans="1:49" s="13" customFormat="1" x14ac:dyDescent="0.25">
      <c r="A94" s="13" t="s">
        <v>66</v>
      </c>
      <c r="B94" s="13" t="s">
        <v>75</v>
      </c>
      <c r="C94" s="13" t="str">
        <f t="shared" si="60"/>
        <v>085755E</v>
      </c>
      <c r="D94" s="13" t="str">
        <f t="shared" si="60"/>
        <v>Steilacoom/Union Ferry Terminal</v>
      </c>
      <c r="E94" s="9">
        <f t="shared" si="60"/>
        <v>15.72</v>
      </c>
      <c r="F94" s="14">
        <f t="shared" si="60"/>
        <v>8</v>
      </c>
      <c r="G94" s="18" t="str">
        <f t="shared" si="60"/>
        <v>Gates</v>
      </c>
      <c r="H94" s="14">
        <f t="shared" si="44"/>
        <v>1.088E-3</v>
      </c>
      <c r="I94" s="14">
        <v>14498</v>
      </c>
      <c r="J94" s="14"/>
      <c r="K94" s="14"/>
      <c r="L94" s="14"/>
      <c r="M94" s="14"/>
      <c r="N94" s="14"/>
      <c r="O94" s="9">
        <v>1.1000000000000001</v>
      </c>
      <c r="P94" s="10">
        <f t="shared" si="61"/>
        <v>15947.800000000001</v>
      </c>
      <c r="Q94" s="14">
        <v>58</v>
      </c>
      <c r="R94" s="9">
        <f t="shared" si="45"/>
        <v>119.3561519391628</v>
      </c>
      <c r="S94" s="14">
        <f t="shared" si="62"/>
        <v>2</v>
      </c>
      <c r="T94" s="9">
        <f t="shared" si="46"/>
        <v>1.7903300708920569</v>
      </c>
      <c r="U94" s="14">
        <f t="shared" si="63"/>
        <v>36</v>
      </c>
      <c r="V94" s="9">
        <f t="shared" si="47"/>
        <v>1</v>
      </c>
      <c r="W94" s="14" t="s">
        <v>43</v>
      </c>
      <c r="X94" s="9">
        <f t="shared" si="48"/>
        <v>1</v>
      </c>
      <c r="Y94" s="14"/>
      <c r="Z94" s="9">
        <f t="shared" si="49"/>
        <v>1</v>
      </c>
      <c r="AA94" s="14"/>
      <c r="AB94" s="9">
        <f t="shared" si="50"/>
        <v>1</v>
      </c>
      <c r="AC94" s="14">
        <f t="shared" si="64"/>
        <v>1</v>
      </c>
      <c r="AD94" s="9">
        <f t="shared" si="51"/>
        <v>1</v>
      </c>
      <c r="AE94" s="15">
        <f t="shared" si="52"/>
        <v>0.23249135586335715</v>
      </c>
      <c r="AF94" s="10">
        <f t="shared" si="53"/>
        <v>3.5399313261950085</v>
      </c>
      <c r="AG94" s="14">
        <v>5</v>
      </c>
      <c r="AH94" s="9">
        <f t="shared" si="54"/>
        <v>0.41451519818862942</v>
      </c>
      <c r="AI94" s="9">
        <f t="shared" si="55"/>
        <v>0.23249135586335715</v>
      </c>
      <c r="AJ94" s="14">
        <v>1</v>
      </c>
      <c r="AK94" s="9">
        <f t="shared" si="56"/>
        <v>0.2</v>
      </c>
      <c r="AL94" s="15">
        <f t="shared" si="57"/>
        <v>0.17927424009056853</v>
      </c>
      <c r="AM94" s="16"/>
      <c r="AN94" s="14"/>
      <c r="AO94" s="14"/>
      <c r="AP94" s="14"/>
      <c r="AQ94" s="14"/>
      <c r="AR94" s="14"/>
      <c r="AS94" s="14"/>
      <c r="AT94" s="14"/>
      <c r="AU94" s="14"/>
      <c r="AV94" s="14"/>
      <c r="AW94" s="15">
        <f t="shared" si="58"/>
        <v>8.2717134377788312E-2</v>
      </c>
    </row>
    <row r="95" spans="1:49" s="13" customFormat="1" x14ac:dyDescent="0.25">
      <c r="A95" s="13" t="s">
        <v>66</v>
      </c>
      <c r="B95" s="13" t="s">
        <v>75</v>
      </c>
      <c r="C95" s="13" t="str">
        <f t="shared" si="60"/>
        <v>085758A</v>
      </c>
      <c r="D95" s="13" t="str">
        <f t="shared" si="60"/>
        <v>Solo Point Road</v>
      </c>
      <c r="E95" s="9">
        <f t="shared" si="60"/>
        <v>18.579999999999998</v>
      </c>
      <c r="F95" s="14">
        <f t="shared" si="60"/>
        <v>8</v>
      </c>
      <c r="G95" s="18" t="str">
        <f t="shared" si="60"/>
        <v>Gates</v>
      </c>
      <c r="H95" s="14">
        <f t="shared" si="44"/>
        <v>1.088E-3</v>
      </c>
      <c r="I95" s="14">
        <v>10</v>
      </c>
      <c r="J95" s="14"/>
      <c r="K95" s="14"/>
      <c r="L95" s="14"/>
      <c r="M95" s="14"/>
      <c r="N95" s="14"/>
      <c r="O95" s="9">
        <v>1</v>
      </c>
      <c r="P95" s="10">
        <f t="shared" si="61"/>
        <v>10</v>
      </c>
      <c r="Q95" s="14">
        <v>58</v>
      </c>
      <c r="R95" s="9">
        <f t="shared" si="45"/>
        <v>11.993056296265298</v>
      </c>
      <c r="S95" s="14">
        <f t="shared" si="62"/>
        <v>2</v>
      </c>
      <c r="T95" s="9">
        <f t="shared" si="46"/>
        <v>1.7903300708920569</v>
      </c>
      <c r="U95" s="14">
        <f t="shared" si="63"/>
        <v>36</v>
      </c>
      <c r="V95" s="9">
        <f t="shared" si="47"/>
        <v>1</v>
      </c>
      <c r="W95" s="14" t="s">
        <v>119</v>
      </c>
      <c r="X95" s="9">
        <f t="shared" si="48"/>
        <v>1</v>
      </c>
      <c r="Y95" s="14"/>
      <c r="Z95" s="9">
        <f t="shared" si="49"/>
        <v>1</v>
      </c>
      <c r="AA95" s="14"/>
      <c r="AB95" s="9">
        <f t="shared" si="50"/>
        <v>1</v>
      </c>
      <c r="AC95" s="14">
        <f t="shared" si="64"/>
        <v>2</v>
      </c>
      <c r="AD95" s="9">
        <f t="shared" si="51"/>
        <v>1.1091567034898182</v>
      </c>
      <c r="AE95" s="15">
        <f t="shared" si="52"/>
        <v>2.5911036270235988E-2</v>
      </c>
      <c r="AF95" s="10">
        <f t="shared" si="53"/>
        <v>13.173315095318896</v>
      </c>
      <c r="AG95" s="14">
        <v>5</v>
      </c>
      <c r="AH95" s="9">
        <f t="shared" si="54"/>
        <v>0.72487133064193077</v>
      </c>
      <c r="AI95" s="9">
        <f t="shared" si="55"/>
        <v>2.5911036270235988E-2</v>
      </c>
      <c r="AJ95" s="14"/>
      <c r="AK95" s="9">
        <f t="shared" si="56"/>
        <v>0</v>
      </c>
      <c r="AL95" s="15">
        <f t="shared" si="57"/>
        <v>1.8782167339517292E-2</v>
      </c>
      <c r="AM95" s="16"/>
      <c r="AN95" s="14"/>
      <c r="AO95" s="14"/>
      <c r="AP95" s="14"/>
      <c r="AQ95" s="14"/>
      <c r="AR95" s="14"/>
      <c r="AS95" s="14"/>
      <c r="AT95" s="14"/>
      <c r="AU95" s="14"/>
      <c r="AV95" s="14"/>
      <c r="AW95" s="15">
        <f t="shared" si="58"/>
        <v>8.6660920104532774E-3</v>
      </c>
    </row>
    <row r="96" spans="1:49" s="13" customFormat="1" x14ac:dyDescent="0.25">
      <c r="A96" s="13" t="s">
        <v>66</v>
      </c>
      <c r="B96" s="13" t="s">
        <v>76</v>
      </c>
      <c r="C96" s="13" t="str">
        <f t="shared" si="60"/>
        <v>396639A</v>
      </c>
      <c r="D96" s="13" t="str">
        <f t="shared" si="60"/>
        <v>E “D” Street</v>
      </c>
      <c r="E96" s="9">
        <f t="shared" si="60"/>
        <v>2</v>
      </c>
      <c r="F96" s="14">
        <f t="shared" si="60"/>
        <v>8</v>
      </c>
      <c r="G96" s="18" t="str">
        <f t="shared" si="60"/>
        <v>Gates</v>
      </c>
      <c r="H96" s="14">
        <f t="shared" si="44"/>
        <v>1.088E-3</v>
      </c>
      <c r="I96" s="14"/>
      <c r="J96" s="14"/>
      <c r="K96" s="14">
        <f t="shared" ref="K96:K116" si="65">K40</f>
        <v>5230</v>
      </c>
      <c r="L96" s="14"/>
      <c r="M96" s="14"/>
      <c r="N96" s="14"/>
      <c r="O96" s="14">
        <v>1.6</v>
      </c>
      <c r="P96" s="10">
        <f t="shared" ref="P96:P116" si="66">K96*O96</f>
        <v>8368</v>
      </c>
      <c r="Q96" s="14">
        <f>14+(2+14)</f>
        <v>30</v>
      </c>
      <c r="R96" s="9">
        <f t="shared" si="45"/>
        <v>79.498522448978392</v>
      </c>
      <c r="S96" s="14">
        <v>2</v>
      </c>
      <c r="T96" s="9">
        <f t="shared" si="46"/>
        <v>1.7903300708920569</v>
      </c>
      <c r="U96" s="14">
        <f t="shared" si="63"/>
        <v>28</v>
      </c>
      <c r="V96" s="9">
        <f t="shared" si="47"/>
        <v>1</v>
      </c>
      <c r="W96" s="14" t="s">
        <v>43</v>
      </c>
      <c r="X96" s="9">
        <f t="shared" si="48"/>
        <v>1</v>
      </c>
      <c r="Y96" s="14"/>
      <c r="Z96" s="9">
        <f t="shared" si="49"/>
        <v>1</v>
      </c>
      <c r="AA96" s="14"/>
      <c r="AB96" s="9">
        <f t="shared" si="50"/>
        <v>1</v>
      </c>
      <c r="AC96" s="14">
        <f t="shared" si="64"/>
        <v>4</v>
      </c>
      <c r="AD96" s="9">
        <f t="shared" si="51"/>
        <v>1.364516290635889</v>
      </c>
      <c r="AE96" s="15">
        <f t="shared" si="52"/>
        <v>0.21130013940561634</v>
      </c>
      <c r="AF96" s="10">
        <f t="shared" si="53"/>
        <v>3.8270167106482074</v>
      </c>
      <c r="AG96" s="14">
        <v>5</v>
      </c>
      <c r="AH96" s="9">
        <f t="shared" si="54"/>
        <v>0.43355720693624611</v>
      </c>
      <c r="AI96" s="9">
        <f t="shared" si="55"/>
        <v>0.21130013940561634</v>
      </c>
      <c r="AJ96" s="14"/>
      <c r="AK96" s="9">
        <f t="shared" si="56"/>
        <v>0</v>
      </c>
      <c r="AL96" s="15">
        <f t="shared" si="57"/>
        <v>9.1610698265938456E-2</v>
      </c>
      <c r="AM96" s="16"/>
      <c r="AN96" s="14"/>
      <c r="AO96" s="14"/>
      <c r="AP96" s="14"/>
      <c r="AQ96" s="14"/>
      <c r="AR96" s="14"/>
      <c r="AS96" s="14"/>
      <c r="AT96" s="14"/>
      <c r="AU96" s="14"/>
      <c r="AV96" s="14"/>
      <c r="AW96" s="15">
        <f t="shared" si="58"/>
        <v>4.2269176179904E-2</v>
      </c>
    </row>
    <row r="97" spans="1:49" s="13" customFormat="1" x14ac:dyDescent="0.25">
      <c r="A97" s="13" t="s">
        <v>66</v>
      </c>
      <c r="B97" s="13" t="s">
        <v>76</v>
      </c>
      <c r="C97" s="13" t="str">
        <f t="shared" si="60"/>
        <v>396640U</v>
      </c>
      <c r="D97" s="13" t="str">
        <f t="shared" si="60"/>
        <v>E “C” Street</v>
      </c>
      <c r="E97" s="9">
        <f t="shared" si="60"/>
        <v>2.1</v>
      </c>
      <c r="F97" s="14">
        <f t="shared" si="60"/>
        <v>8</v>
      </c>
      <c r="G97" s="18" t="str">
        <f t="shared" si="60"/>
        <v>Gates</v>
      </c>
      <c r="H97" s="14">
        <f t="shared" si="44"/>
        <v>1.088E-3</v>
      </c>
      <c r="I97" s="14"/>
      <c r="J97" s="14"/>
      <c r="K97" s="14">
        <f t="shared" si="65"/>
        <v>1520</v>
      </c>
      <c r="L97" s="14"/>
      <c r="M97" s="14"/>
      <c r="N97" s="14"/>
      <c r="O97" s="14">
        <v>2.79</v>
      </c>
      <c r="P97" s="10">
        <f t="shared" si="66"/>
        <v>4240.8</v>
      </c>
      <c r="Q97" s="14">
        <f t="shared" ref="Q97:Q108" si="67">14+(2+14)</f>
        <v>30</v>
      </c>
      <c r="R97" s="9">
        <f t="shared" si="45"/>
        <v>64.325471880357739</v>
      </c>
      <c r="S97" s="14">
        <v>2</v>
      </c>
      <c r="T97" s="9">
        <f t="shared" si="46"/>
        <v>1.7903300708920569</v>
      </c>
      <c r="U97" s="14">
        <f t="shared" si="63"/>
        <v>28</v>
      </c>
      <c r="V97" s="9">
        <f t="shared" si="47"/>
        <v>1</v>
      </c>
      <c r="W97" s="14" t="s">
        <v>43</v>
      </c>
      <c r="X97" s="9">
        <f t="shared" si="48"/>
        <v>1</v>
      </c>
      <c r="Y97" s="14"/>
      <c r="Z97" s="9">
        <f t="shared" si="49"/>
        <v>1</v>
      </c>
      <c r="AA97" s="14"/>
      <c r="AB97" s="9">
        <f t="shared" si="50"/>
        <v>1</v>
      </c>
      <c r="AC97" s="14">
        <f t="shared" si="64"/>
        <v>2</v>
      </c>
      <c r="AD97" s="9">
        <f t="shared" si="51"/>
        <v>1.1091567034898182</v>
      </c>
      <c r="AE97" s="15">
        <f t="shared" si="52"/>
        <v>0.1389753865752324</v>
      </c>
      <c r="AF97" s="10">
        <f t="shared" si="53"/>
        <v>5.2916944271040993</v>
      </c>
      <c r="AG97" s="14">
        <v>5</v>
      </c>
      <c r="AH97" s="9">
        <f t="shared" si="54"/>
        <v>0.51417135094566624</v>
      </c>
      <c r="AI97" s="9">
        <f t="shared" si="55"/>
        <v>0.1389753865752324</v>
      </c>
      <c r="AJ97" s="14">
        <v>1</v>
      </c>
      <c r="AK97" s="9">
        <f t="shared" si="56"/>
        <v>0.2</v>
      </c>
      <c r="AL97" s="15">
        <f t="shared" si="57"/>
        <v>0.17429143245271672</v>
      </c>
      <c r="AM97" s="16"/>
      <c r="AN97" s="14"/>
      <c r="AO97" s="14"/>
      <c r="AP97" s="14"/>
      <c r="AQ97" s="14"/>
      <c r="AR97" s="14"/>
      <c r="AS97" s="14"/>
      <c r="AT97" s="14"/>
      <c r="AU97" s="14"/>
      <c r="AV97" s="14"/>
      <c r="AW97" s="15">
        <f t="shared" si="58"/>
        <v>8.0418066933683488E-2</v>
      </c>
    </row>
    <row r="98" spans="1:49" s="13" customFormat="1" x14ac:dyDescent="0.25">
      <c r="A98" s="13" t="s">
        <v>66</v>
      </c>
      <c r="B98" s="13" t="s">
        <v>76</v>
      </c>
      <c r="C98" s="13" t="str">
        <f t="shared" si="60"/>
        <v>n/a NEW</v>
      </c>
      <c r="D98" s="13" t="str">
        <f t="shared" si="60"/>
        <v>S “C” Street</v>
      </c>
      <c r="E98" s="9">
        <f t="shared" si="60"/>
        <v>0</v>
      </c>
      <c r="F98" s="14">
        <f t="shared" si="60"/>
        <v>8</v>
      </c>
      <c r="G98" s="18" t="str">
        <f t="shared" si="60"/>
        <v>Gates</v>
      </c>
      <c r="H98" s="14">
        <f t="shared" si="44"/>
        <v>1.088E-3</v>
      </c>
      <c r="I98" s="14"/>
      <c r="J98" s="14"/>
      <c r="K98" s="14">
        <f t="shared" si="65"/>
        <v>1820</v>
      </c>
      <c r="L98" s="14"/>
      <c r="M98" s="14"/>
      <c r="N98" s="14"/>
      <c r="O98" s="14">
        <v>1.21</v>
      </c>
      <c r="P98" s="10">
        <f t="shared" si="66"/>
        <v>2202.1999999999998</v>
      </c>
      <c r="Q98" s="14">
        <f>14+14</f>
        <v>28</v>
      </c>
      <c r="R98" s="9">
        <f t="shared" si="45"/>
        <v>51.329626098908633</v>
      </c>
      <c r="S98" s="14">
        <v>1</v>
      </c>
      <c r="T98" s="9">
        <f t="shared" si="46"/>
        <v>1.3380321636239008</v>
      </c>
      <c r="U98" s="14">
        <f t="shared" si="63"/>
        <v>28</v>
      </c>
      <c r="V98" s="9">
        <f t="shared" si="47"/>
        <v>1</v>
      </c>
      <c r="W98" s="14" t="s">
        <v>43</v>
      </c>
      <c r="X98" s="9">
        <f t="shared" si="48"/>
        <v>1</v>
      </c>
      <c r="Y98" s="14"/>
      <c r="Z98" s="9">
        <f t="shared" si="49"/>
        <v>1</v>
      </c>
      <c r="AA98" s="14"/>
      <c r="AB98" s="9">
        <f t="shared" si="50"/>
        <v>1</v>
      </c>
      <c r="AC98" s="14">
        <f t="shared" si="64"/>
        <v>2</v>
      </c>
      <c r="AD98" s="9">
        <f t="shared" si="51"/>
        <v>1.1091567034898182</v>
      </c>
      <c r="AE98" s="15">
        <f t="shared" si="52"/>
        <v>8.2881281517686783E-2</v>
      </c>
      <c r="AF98" s="10">
        <f t="shared" si="53"/>
        <v>7.5255144184239207</v>
      </c>
      <c r="AG98" s="14">
        <v>5</v>
      </c>
      <c r="AH98" s="9">
        <f t="shared" si="54"/>
        <v>0.60081479826126394</v>
      </c>
      <c r="AI98" s="9">
        <f t="shared" si="55"/>
        <v>8.2881281517686783E-2</v>
      </c>
      <c r="AJ98" s="14"/>
      <c r="AK98" s="9">
        <f t="shared" si="56"/>
        <v>0</v>
      </c>
      <c r="AL98" s="15">
        <f t="shared" si="57"/>
        <v>4.9796300434684006E-2</v>
      </c>
      <c r="AM98" s="16"/>
      <c r="AN98" s="14"/>
      <c r="AO98" s="14"/>
      <c r="AP98" s="14"/>
      <c r="AQ98" s="14"/>
      <c r="AR98" s="14"/>
      <c r="AS98" s="14"/>
      <c r="AT98" s="14"/>
      <c r="AU98" s="14"/>
      <c r="AV98" s="14"/>
      <c r="AW98" s="15">
        <f t="shared" si="58"/>
        <v>2.29760130205632E-2</v>
      </c>
    </row>
    <row r="99" spans="1:49" s="13" customFormat="1" x14ac:dyDescent="0.25">
      <c r="A99" s="13" t="s">
        <v>66</v>
      </c>
      <c r="B99" s="13" t="s">
        <v>76</v>
      </c>
      <c r="C99" s="13" t="str">
        <f t="shared" ref="C99:G108" si="68">C43</f>
        <v>085372C</v>
      </c>
      <c r="D99" s="13" t="str">
        <f t="shared" si="68"/>
        <v>S Chandler Street</v>
      </c>
      <c r="E99" s="9">
        <f t="shared" si="68"/>
        <v>2.96</v>
      </c>
      <c r="F99" s="14">
        <f t="shared" si="68"/>
        <v>8</v>
      </c>
      <c r="G99" s="18" t="str">
        <f t="shared" si="68"/>
        <v>Gates</v>
      </c>
      <c r="H99" s="14">
        <f t="shared" si="44"/>
        <v>1.088E-3</v>
      </c>
      <c r="I99" s="14"/>
      <c r="J99" s="14"/>
      <c r="K99" s="14">
        <f t="shared" si="65"/>
        <v>460</v>
      </c>
      <c r="L99" s="14"/>
      <c r="M99" s="14"/>
      <c r="N99" s="14"/>
      <c r="O99" s="14">
        <v>1.1000000000000001</v>
      </c>
      <c r="P99" s="10">
        <f t="shared" si="66"/>
        <v>506.00000000000006</v>
      </c>
      <c r="Q99" s="14">
        <f t="shared" si="67"/>
        <v>30</v>
      </c>
      <c r="R99" s="9">
        <f t="shared" si="45"/>
        <v>33.165390891216902</v>
      </c>
      <c r="S99" s="14">
        <v>1</v>
      </c>
      <c r="T99" s="9">
        <f t="shared" si="46"/>
        <v>1.3380321636239008</v>
      </c>
      <c r="U99" s="14">
        <f t="shared" si="63"/>
        <v>28</v>
      </c>
      <c r="V99" s="9">
        <f t="shared" si="47"/>
        <v>1</v>
      </c>
      <c r="W99" s="14" t="s">
        <v>43</v>
      </c>
      <c r="X99" s="9">
        <f t="shared" si="48"/>
        <v>1</v>
      </c>
      <c r="Y99" s="14"/>
      <c r="Z99" s="9">
        <f t="shared" si="49"/>
        <v>1</v>
      </c>
      <c r="AA99" s="14"/>
      <c r="AB99" s="9">
        <f t="shared" si="50"/>
        <v>1</v>
      </c>
      <c r="AC99" s="14">
        <f t="shared" si="64"/>
        <v>2</v>
      </c>
      <c r="AD99" s="9">
        <f t="shared" si="51"/>
        <v>1.1091567034898182</v>
      </c>
      <c r="AE99" s="15">
        <f t="shared" si="52"/>
        <v>5.3551726517593275E-2</v>
      </c>
      <c r="AF99" s="10">
        <f t="shared" si="53"/>
        <v>9.6570094350875113</v>
      </c>
      <c r="AG99" s="14">
        <v>5</v>
      </c>
      <c r="AH99" s="9">
        <f t="shared" si="54"/>
        <v>0.65886629041593803</v>
      </c>
      <c r="AI99" s="9">
        <f t="shared" si="55"/>
        <v>5.3551726517593275E-2</v>
      </c>
      <c r="AJ99" s="14"/>
      <c r="AK99" s="9">
        <f t="shared" si="56"/>
        <v>0</v>
      </c>
      <c r="AL99" s="15">
        <f t="shared" si="57"/>
        <v>3.5283427396015497E-2</v>
      </c>
      <c r="AM99" s="16"/>
      <c r="AN99" s="14"/>
      <c r="AO99" s="14"/>
      <c r="AP99" s="14"/>
      <c r="AQ99" s="14"/>
      <c r="AR99" s="14"/>
      <c r="AS99" s="14"/>
      <c r="AT99" s="14"/>
      <c r="AU99" s="14"/>
      <c r="AV99" s="14"/>
      <c r="AW99" s="15">
        <f t="shared" si="58"/>
        <v>1.6279773400521551E-2</v>
      </c>
    </row>
    <row r="100" spans="1:49" s="13" customFormat="1" x14ac:dyDescent="0.25">
      <c r="A100" s="13" t="s">
        <v>66</v>
      </c>
      <c r="B100" s="13" t="s">
        <v>76</v>
      </c>
      <c r="C100" s="13" t="str">
        <f t="shared" si="68"/>
        <v>085373J</v>
      </c>
      <c r="D100" s="13" t="str">
        <f t="shared" si="68"/>
        <v>S Alaska Street</v>
      </c>
      <c r="E100" s="9">
        <f t="shared" si="68"/>
        <v>3.06</v>
      </c>
      <c r="F100" s="14">
        <f t="shared" si="68"/>
        <v>8</v>
      </c>
      <c r="G100" s="18" t="str">
        <f t="shared" si="68"/>
        <v>Gates</v>
      </c>
      <c r="H100" s="14">
        <f t="shared" si="44"/>
        <v>1.088E-3</v>
      </c>
      <c r="I100" s="14"/>
      <c r="J100" s="14"/>
      <c r="K100" s="14">
        <f t="shared" si="65"/>
        <v>200</v>
      </c>
      <c r="L100" s="14"/>
      <c r="M100" s="14"/>
      <c r="N100" s="14"/>
      <c r="O100" s="14">
        <v>1.25</v>
      </c>
      <c r="P100" s="10">
        <f t="shared" si="66"/>
        <v>250</v>
      </c>
      <c r="Q100" s="14">
        <f t="shared" si="67"/>
        <v>30</v>
      </c>
      <c r="R100" s="9">
        <f t="shared" si="45"/>
        <v>26.623904798870136</v>
      </c>
      <c r="S100" s="14">
        <v>1</v>
      </c>
      <c r="T100" s="9">
        <f t="shared" si="46"/>
        <v>1.3380321636239008</v>
      </c>
      <c r="U100" s="14">
        <f t="shared" si="63"/>
        <v>28</v>
      </c>
      <c r="V100" s="9">
        <f t="shared" si="47"/>
        <v>1</v>
      </c>
      <c r="W100" s="14" t="s">
        <v>43</v>
      </c>
      <c r="X100" s="9">
        <f t="shared" si="48"/>
        <v>1</v>
      </c>
      <c r="Y100" s="14"/>
      <c r="Z100" s="9">
        <f t="shared" si="49"/>
        <v>1</v>
      </c>
      <c r="AA100" s="14"/>
      <c r="AB100" s="9">
        <f t="shared" si="50"/>
        <v>1</v>
      </c>
      <c r="AC100" s="14">
        <f t="shared" si="64"/>
        <v>2</v>
      </c>
      <c r="AD100" s="9">
        <f t="shared" si="51"/>
        <v>1.1091567034898182</v>
      </c>
      <c r="AE100" s="15">
        <f t="shared" si="52"/>
        <v>4.2989273767224362E-2</v>
      </c>
      <c r="AF100" s="10">
        <f t="shared" si="53"/>
        <v>10.753928485378351</v>
      </c>
      <c r="AG100" s="14">
        <v>5</v>
      </c>
      <c r="AH100" s="9">
        <f t="shared" si="54"/>
        <v>0.68261884617283641</v>
      </c>
      <c r="AI100" s="9">
        <f t="shared" si="55"/>
        <v>4.2989273767224362E-2</v>
      </c>
      <c r="AJ100" s="14"/>
      <c r="AK100" s="9">
        <f t="shared" si="56"/>
        <v>0</v>
      </c>
      <c r="AL100" s="15">
        <f t="shared" si="57"/>
        <v>2.934528845679088E-2</v>
      </c>
      <c r="AM100" s="16"/>
      <c r="AN100" s="14"/>
      <c r="AO100" s="14"/>
      <c r="AP100" s="14"/>
      <c r="AQ100" s="14"/>
      <c r="AR100" s="14"/>
      <c r="AS100" s="14"/>
      <c r="AT100" s="14"/>
      <c r="AU100" s="14"/>
      <c r="AV100" s="14"/>
      <c r="AW100" s="15">
        <f t="shared" si="58"/>
        <v>1.3539916093963312E-2</v>
      </c>
    </row>
    <row r="101" spans="1:49" s="13" customFormat="1" x14ac:dyDescent="0.25">
      <c r="A101" s="13" t="s">
        <v>66</v>
      </c>
      <c r="B101" s="13" t="s">
        <v>76</v>
      </c>
      <c r="C101" s="13" t="str">
        <f t="shared" si="68"/>
        <v>085374R</v>
      </c>
      <c r="D101" s="13" t="str">
        <f t="shared" si="68"/>
        <v>S Wilkeson Street</v>
      </c>
      <c r="E101" s="9">
        <f t="shared" si="68"/>
        <v>3.12</v>
      </c>
      <c r="F101" s="14">
        <f t="shared" si="68"/>
        <v>8</v>
      </c>
      <c r="G101" s="18" t="str">
        <f t="shared" si="68"/>
        <v>Gates</v>
      </c>
      <c r="H101" s="14">
        <f t="shared" si="44"/>
        <v>1.088E-3</v>
      </c>
      <c r="I101" s="14"/>
      <c r="J101" s="14"/>
      <c r="K101" s="14">
        <f t="shared" si="65"/>
        <v>6320</v>
      </c>
      <c r="L101" s="14"/>
      <c r="M101" s="14"/>
      <c r="N101" s="14"/>
      <c r="O101" s="14">
        <v>1.22</v>
      </c>
      <c r="P101" s="10">
        <f t="shared" si="66"/>
        <v>7710.4</v>
      </c>
      <c r="Q101" s="14">
        <f t="shared" si="67"/>
        <v>30</v>
      </c>
      <c r="R101" s="9">
        <f t="shared" si="45"/>
        <v>77.496719376539133</v>
      </c>
      <c r="S101" s="14">
        <v>1</v>
      </c>
      <c r="T101" s="9">
        <f t="shared" si="46"/>
        <v>1.3380321636239008</v>
      </c>
      <c r="U101" s="14">
        <f t="shared" si="63"/>
        <v>28</v>
      </c>
      <c r="V101" s="9">
        <f t="shared" si="47"/>
        <v>1</v>
      </c>
      <c r="W101" s="14" t="s">
        <v>43</v>
      </c>
      <c r="X101" s="9">
        <f t="shared" si="48"/>
        <v>1</v>
      </c>
      <c r="Y101" s="14"/>
      <c r="Z101" s="9">
        <f t="shared" si="49"/>
        <v>1</v>
      </c>
      <c r="AA101" s="14"/>
      <c r="AB101" s="9">
        <f t="shared" si="50"/>
        <v>1</v>
      </c>
      <c r="AC101" s="14">
        <f t="shared" si="64"/>
        <v>2</v>
      </c>
      <c r="AD101" s="9">
        <f t="shared" si="51"/>
        <v>1.1091567034898182</v>
      </c>
      <c r="AE101" s="15">
        <f t="shared" si="52"/>
        <v>0.12513294764640179</v>
      </c>
      <c r="AF101" s="10">
        <f t="shared" si="53"/>
        <v>5.7099478621180255</v>
      </c>
      <c r="AG101" s="14">
        <v>5</v>
      </c>
      <c r="AH101" s="9">
        <f t="shared" si="54"/>
        <v>0.53314431924683647</v>
      </c>
      <c r="AI101" s="9">
        <f t="shared" si="55"/>
        <v>0.12513294764640179</v>
      </c>
      <c r="AJ101" s="14"/>
      <c r="AK101" s="9">
        <f t="shared" si="56"/>
        <v>0</v>
      </c>
      <c r="AL101" s="15">
        <f t="shared" si="57"/>
        <v>6.6713920188290907E-2</v>
      </c>
      <c r="AM101" s="16"/>
      <c r="AN101" s="14"/>
      <c r="AO101" s="14"/>
      <c r="AP101" s="14"/>
      <c r="AQ101" s="14"/>
      <c r="AR101" s="14"/>
      <c r="AS101" s="14"/>
      <c r="AT101" s="14"/>
      <c r="AU101" s="14"/>
      <c r="AV101" s="14"/>
      <c r="AW101" s="15">
        <f t="shared" si="58"/>
        <v>3.0781802774877423E-2</v>
      </c>
    </row>
    <row r="102" spans="1:49" s="13" customFormat="1" x14ac:dyDescent="0.25">
      <c r="A102" s="13" t="s">
        <v>66</v>
      </c>
      <c r="B102" s="13" t="s">
        <v>76</v>
      </c>
      <c r="C102" s="13" t="str">
        <f t="shared" si="68"/>
        <v>085382H</v>
      </c>
      <c r="D102" s="13" t="str">
        <f t="shared" si="68"/>
        <v>S Pine Street</v>
      </c>
      <c r="E102" s="9">
        <f t="shared" si="68"/>
        <v>3.79</v>
      </c>
      <c r="F102" s="14">
        <f t="shared" si="68"/>
        <v>8</v>
      </c>
      <c r="G102" s="18" t="str">
        <f t="shared" si="68"/>
        <v>Gates</v>
      </c>
      <c r="H102" s="14">
        <f t="shared" si="44"/>
        <v>1.088E-3</v>
      </c>
      <c r="I102" s="14"/>
      <c r="J102" s="14"/>
      <c r="K102" s="14">
        <f t="shared" si="65"/>
        <v>20510</v>
      </c>
      <c r="L102" s="14"/>
      <c r="M102" s="14"/>
      <c r="N102" s="14"/>
      <c r="O102" s="14">
        <v>1.08</v>
      </c>
      <c r="P102" s="10">
        <f t="shared" si="66"/>
        <v>22150.800000000003</v>
      </c>
      <c r="Q102" s="14">
        <f t="shared" si="67"/>
        <v>30</v>
      </c>
      <c r="R102" s="9">
        <f t="shared" si="45"/>
        <v>107.66967918742866</v>
      </c>
      <c r="S102" s="14">
        <v>1</v>
      </c>
      <c r="T102" s="9">
        <f t="shared" si="46"/>
        <v>1.3380321636239008</v>
      </c>
      <c r="U102" s="14">
        <f t="shared" si="63"/>
        <v>28</v>
      </c>
      <c r="V102" s="9">
        <f t="shared" si="47"/>
        <v>1</v>
      </c>
      <c r="W102" s="14" t="s">
        <v>43</v>
      </c>
      <c r="X102" s="9">
        <f t="shared" si="48"/>
        <v>1</v>
      </c>
      <c r="Y102" s="14"/>
      <c r="Z102" s="9">
        <f t="shared" si="49"/>
        <v>1</v>
      </c>
      <c r="AA102" s="14"/>
      <c r="AB102" s="9">
        <f t="shared" si="50"/>
        <v>1</v>
      </c>
      <c r="AC102" s="14">
        <f t="shared" si="64"/>
        <v>5</v>
      </c>
      <c r="AD102" s="9">
        <f t="shared" si="51"/>
        <v>1.5134623907798572</v>
      </c>
      <c r="AE102" s="15">
        <f t="shared" si="52"/>
        <v>0.23722502486261357</v>
      </c>
      <c r="AF102" s="10">
        <f t="shared" si="53"/>
        <v>3.4815907857552566</v>
      </c>
      <c r="AG102" s="14">
        <v>5</v>
      </c>
      <c r="AH102" s="9">
        <f t="shared" si="54"/>
        <v>0.41048794662465349</v>
      </c>
      <c r="AI102" s="9">
        <f t="shared" si="55"/>
        <v>0.23722502486261357</v>
      </c>
      <c r="AJ102" s="14"/>
      <c r="AK102" s="9">
        <f t="shared" si="56"/>
        <v>0</v>
      </c>
      <c r="AL102" s="15">
        <f t="shared" si="57"/>
        <v>9.7378013343836611E-2</v>
      </c>
      <c r="AM102" s="16"/>
      <c r="AN102" s="14"/>
      <c r="AO102" s="14"/>
      <c r="AP102" s="14"/>
      <c r="AQ102" s="14"/>
      <c r="AR102" s="14"/>
      <c r="AS102" s="14"/>
      <c r="AT102" s="14"/>
      <c r="AU102" s="14"/>
      <c r="AV102" s="14"/>
      <c r="AW102" s="15">
        <f t="shared" si="58"/>
        <v>4.4930215356846208E-2</v>
      </c>
    </row>
    <row r="103" spans="1:49" x14ac:dyDescent="0.25">
      <c r="A103" s="13" t="s">
        <v>66</v>
      </c>
      <c r="B103" s="13" t="s">
        <v>76</v>
      </c>
      <c r="C103" s="13" t="str">
        <f t="shared" si="68"/>
        <v>085385D</v>
      </c>
      <c r="D103" s="13" t="str">
        <f t="shared" si="68"/>
        <v>S 35th Street</v>
      </c>
      <c r="E103" s="9">
        <f t="shared" si="68"/>
        <v>4.1500000000000004</v>
      </c>
      <c r="F103" s="14">
        <f t="shared" si="68"/>
        <v>8</v>
      </c>
      <c r="G103" s="18" t="str">
        <f t="shared" si="68"/>
        <v>Gates</v>
      </c>
      <c r="H103" s="14">
        <f t="shared" si="44"/>
        <v>1.088E-3</v>
      </c>
      <c r="K103" s="14">
        <f t="shared" si="65"/>
        <v>3660</v>
      </c>
      <c r="L103" s="14"/>
      <c r="M103" s="14"/>
      <c r="N103" s="14"/>
      <c r="O103" s="14">
        <v>1.04</v>
      </c>
      <c r="P103" s="10">
        <f t="shared" si="66"/>
        <v>3806.4</v>
      </c>
      <c r="Q103" s="14">
        <f t="shared" si="67"/>
        <v>30</v>
      </c>
      <c r="R103" s="9">
        <f t="shared" si="45"/>
        <v>62.195443365409155</v>
      </c>
      <c r="S103" s="14">
        <v>1</v>
      </c>
      <c r="T103" s="9">
        <f t="shared" si="46"/>
        <v>1.3380321636239008</v>
      </c>
      <c r="U103" s="14">
        <f t="shared" si="63"/>
        <v>30</v>
      </c>
      <c r="V103" s="9">
        <f t="shared" si="47"/>
        <v>1</v>
      </c>
      <c r="W103" s="14" t="s">
        <v>43</v>
      </c>
      <c r="X103" s="9">
        <f t="shared" si="48"/>
        <v>1</v>
      </c>
      <c r="Z103" s="9">
        <f t="shared" si="49"/>
        <v>1</v>
      </c>
      <c r="AB103" s="9">
        <f t="shared" si="50"/>
        <v>1</v>
      </c>
      <c r="AC103" s="14">
        <f t="shared" si="64"/>
        <v>5</v>
      </c>
      <c r="AD103" s="9">
        <f t="shared" si="51"/>
        <v>1.5134623907798572</v>
      </c>
      <c r="AE103" s="15">
        <f t="shared" si="52"/>
        <v>0.13703315278776415</v>
      </c>
      <c r="AF103" s="10">
        <f t="shared" si="53"/>
        <v>5.3466456887178166</v>
      </c>
      <c r="AG103" s="14">
        <v>5</v>
      </c>
      <c r="AH103" s="9">
        <f t="shared" si="54"/>
        <v>0.51675159752961319</v>
      </c>
      <c r="AI103" s="9">
        <f t="shared" si="55"/>
        <v>0.13703315278776415</v>
      </c>
      <c r="AJ103" s="14"/>
      <c r="AK103" s="9">
        <f t="shared" si="56"/>
        <v>0</v>
      </c>
      <c r="AL103" s="15">
        <f t="shared" si="57"/>
        <v>7.0812100617596699E-2</v>
      </c>
      <c r="AW103" s="15">
        <f t="shared" si="58"/>
        <v>3.2672703224959118E-2</v>
      </c>
    </row>
    <row r="104" spans="1:49" x14ac:dyDescent="0.25">
      <c r="A104" s="13" t="s">
        <v>66</v>
      </c>
      <c r="B104" s="13" t="s">
        <v>76</v>
      </c>
      <c r="C104" s="13" t="str">
        <f t="shared" si="68"/>
        <v>085391G</v>
      </c>
      <c r="D104" s="13" t="str">
        <f t="shared" si="68"/>
        <v>S 50th Street</v>
      </c>
      <c r="E104" s="9">
        <f t="shared" si="68"/>
        <v>5.47</v>
      </c>
      <c r="F104" s="14">
        <f t="shared" si="68"/>
        <v>8</v>
      </c>
      <c r="G104" s="18" t="str">
        <f t="shared" si="68"/>
        <v>Gates</v>
      </c>
      <c r="H104" s="14">
        <f t="shared" si="44"/>
        <v>1.088E-3</v>
      </c>
      <c r="K104" s="14">
        <f t="shared" si="65"/>
        <v>820</v>
      </c>
      <c r="L104" s="14"/>
      <c r="M104" s="14"/>
      <c r="N104" s="14"/>
      <c r="O104" s="14">
        <v>1.08</v>
      </c>
      <c r="P104" s="10">
        <f t="shared" si="66"/>
        <v>885.6</v>
      </c>
      <c r="Q104" s="14">
        <f t="shared" si="67"/>
        <v>30</v>
      </c>
      <c r="R104" s="9">
        <f t="shared" si="45"/>
        <v>39.484831920749357</v>
      </c>
      <c r="S104" s="14">
        <v>2</v>
      </c>
      <c r="T104" s="9">
        <f t="shared" si="46"/>
        <v>1.7903300708920569</v>
      </c>
      <c r="U104" s="14">
        <f t="shared" si="63"/>
        <v>28</v>
      </c>
      <c r="V104" s="9">
        <f t="shared" si="47"/>
        <v>1</v>
      </c>
      <c r="W104" s="14" t="s">
        <v>43</v>
      </c>
      <c r="X104" s="9">
        <f t="shared" si="48"/>
        <v>1</v>
      </c>
      <c r="Z104" s="9">
        <f t="shared" si="49"/>
        <v>1</v>
      </c>
      <c r="AB104" s="9">
        <f t="shared" si="50"/>
        <v>1</v>
      </c>
      <c r="AC104" s="14">
        <f t="shared" si="64"/>
        <v>2</v>
      </c>
      <c r="AD104" s="9">
        <f t="shared" si="51"/>
        <v>1.1091567034898182</v>
      </c>
      <c r="AE104" s="15">
        <f t="shared" si="52"/>
        <v>8.5307104940490028E-2</v>
      </c>
      <c r="AF104" s="10">
        <f t="shared" si="53"/>
        <v>7.3905949021658106</v>
      </c>
      <c r="AG104" s="14">
        <v>5</v>
      </c>
      <c r="AH104" s="9">
        <f t="shared" si="54"/>
        <v>0.59646812445413522</v>
      </c>
      <c r="AI104" s="9">
        <f t="shared" si="55"/>
        <v>8.5307104940490028E-2</v>
      </c>
      <c r="AJ104" s="14"/>
      <c r="AK104" s="9">
        <f t="shared" si="56"/>
        <v>0</v>
      </c>
      <c r="AL104" s="15">
        <f t="shared" si="57"/>
        <v>5.0882968886466179E-2</v>
      </c>
      <c r="AW104" s="15">
        <f t="shared" si="58"/>
        <v>2.3477401844215495E-2</v>
      </c>
    </row>
    <row r="105" spans="1:49" x14ac:dyDescent="0.25">
      <c r="A105" s="13" t="s">
        <v>66</v>
      </c>
      <c r="B105" s="13" t="s">
        <v>76</v>
      </c>
      <c r="C105" s="13" t="str">
        <f t="shared" si="68"/>
        <v>085392N</v>
      </c>
      <c r="D105" s="13" t="str">
        <f t="shared" si="68"/>
        <v>S 56th Street</v>
      </c>
      <c r="E105" s="9">
        <f t="shared" si="68"/>
        <v>5.81</v>
      </c>
      <c r="F105" s="14">
        <f t="shared" si="68"/>
        <v>8</v>
      </c>
      <c r="G105" s="18" t="str">
        <f t="shared" si="68"/>
        <v>Gates</v>
      </c>
      <c r="H105" s="14">
        <f t="shared" si="44"/>
        <v>1.088E-3</v>
      </c>
      <c r="K105" s="14">
        <f t="shared" si="65"/>
        <v>23950</v>
      </c>
      <c r="L105" s="14"/>
      <c r="M105" s="14"/>
      <c r="N105" s="14"/>
      <c r="O105" s="14">
        <v>1.22</v>
      </c>
      <c r="P105" s="10">
        <f t="shared" si="66"/>
        <v>29219</v>
      </c>
      <c r="Q105" s="14">
        <f t="shared" si="67"/>
        <v>30</v>
      </c>
      <c r="R105" s="9">
        <f t="shared" si="45"/>
        <v>117.37386069768486</v>
      </c>
      <c r="S105" s="14">
        <v>2</v>
      </c>
      <c r="T105" s="9">
        <f t="shared" si="46"/>
        <v>1.7903300708920569</v>
      </c>
      <c r="U105" s="14">
        <f t="shared" si="63"/>
        <v>28</v>
      </c>
      <c r="V105" s="9">
        <f t="shared" si="47"/>
        <v>1</v>
      </c>
      <c r="W105" s="14" t="s">
        <v>43</v>
      </c>
      <c r="X105" s="9">
        <f t="shared" si="48"/>
        <v>1</v>
      </c>
      <c r="Z105" s="9">
        <f t="shared" si="49"/>
        <v>1</v>
      </c>
      <c r="AB105" s="9">
        <f t="shared" si="50"/>
        <v>1</v>
      </c>
      <c r="AC105" s="14">
        <f t="shared" si="64"/>
        <v>4</v>
      </c>
      <c r="AD105" s="9">
        <f t="shared" si="51"/>
        <v>1.364516290635889</v>
      </c>
      <c r="AE105" s="15">
        <f t="shared" si="52"/>
        <v>0.31196948526827517</v>
      </c>
      <c r="AF105" s="10">
        <f t="shared" si="53"/>
        <v>2.7626638175282814</v>
      </c>
      <c r="AG105" s="14">
        <v>5</v>
      </c>
      <c r="AH105" s="9">
        <f t="shared" si="54"/>
        <v>0.35589120983058936</v>
      </c>
      <c r="AI105" s="9">
        <f t="shared" si="55"/>
        <v>0.31196948526827517</v>
      </c>
      <c r="AJ105" s="14"/>
      <c r="AK105" s="9">
        <f t="shared" si="56"/>
        <v>0</v>
      </c>
      <c r="AL105" s="15">
        <f t="shared" si="57"/>
        <v>0.11102719754235267</v>
      </c>
      <c r="AW105" s="15">
        <f t="shared" si="58"/>
        <v>5.1227948946041518E-2</v>
      </c>
    </row>
    <row r="106" spans="1:49" x14ac:dyDescent="0.25">
      <c r="A106" s="13" t="s">
        <v>66</v>
      </c>
      <c r="B106" s="13" t="s">
        <v>76</v>
      </c>
      <c r="C106" s="13" t="str">
        <f t="shared" si="68"/>
        <v>085394C</v>
      </c>
      <c r="D106" s="13" t="str">
        <f t="shared" si="68"/>
        <v>S 60th Street</v>
      </c>
      <c r="E106" s="9">
        <f t="shared" si="68"/>
        <v>6.04</v>
      </c>
      <c r="F106" s="14">
        <f t="shared" si="68"/>
        <v>8</v>
      </c>
      <c r="G106" s="18" t="str">
        <f t="shared" si="68"/>
        <v>Gates</v>
      </c>
      <c r="H106" s="14">
        <f t="shared" si="44"/>
        <v>1.088E-3</v>
      </c>
      <c r="K106" s="14">
        <f t="shared" si="65"/>
        <v>740</v>
      </c>
      <c r="L106" s="14"/>
      <c r="M106" s="14"/>
      <c r="N106" s="14"/>
      <c r="O106" s="14">
        <v>1.3</v>
      </c>
      <c r="P106" s="10">
        <f t="shared" si="66"/>
        <v>962</v>
      </c>
      <c r="Q106" s="14">
        <f t="shared" si="67"/>
        <v>30</v>
      </c>
      <c r="R106" s="9">
        <f t="shared" si="45"/>
        <v>40.516164577377793</v>
      </c>
      <c r="S106" s="14">
        <v>1</v>
      </c>
      <c r="T106" s="9">
        <f t="shared" si="46"/>
        <v>1.3380321636239008</v>
      </c>
      <c r="U106" s="14">
        <f t="shared" si="63"/>
        <v>28</v>
      </c>
      <c r="V106" s="9">
        <f t="shared" si="47"/>
        <v>1</v>
      </c>
      <c r="W106" s="14" t="s">
        <v>43</v>
      </c>
      <c r="X106" s="9">
        <f t="shared" si="48"/>
        <v>1</v>
      </c>
      <c r="Z106" s="9">
        <f t="shared" si="49"/>
        <v>1</v>
      </c>
      <c r="AB106" s="9">
        <f t="shared" si="50"/>
        <v>1</v>
      </c>
      <c r="AC106" s="14">
        <f t="shared" si="64"/>
        <v>2</v>
      </c>
      <c r="AD106" s="9">
        <f t="shared" si="51"/>
        <v>1.1091567034898182</v>
      </c>
      <c r="AE106" s="15">
        <f t="shared" si="52"/>
        <v>6.5420925449250003E-2</v>
      </c>
      <c r="AF106" s="10">
        <f t="shared" si="53"/>
        <v>8.6639402353405579</v>
      </c>
      <c r="AG106" s="14">
        <v>5</v>
      </c>
      <c r="AH106" s="9">
        <f t="shared" si="54"/>
        <v>0.63407334093368273</v>
      </c>
      <c r="AI106" s="9">
        <f t="shared" si="55"/>
        <v>6.5420925449250003E-2</v>
      </c>
      <c r="AJ106" s="14"/>
      <c r="AK106" s="9">
        <f t="shared" si="56"/>
        <v>0</v>
      </c>
      <c r="AL106" s="15">
        <f t="shared" si="57"/>
        <v>4.1481664766579336E-2</v>
      </c>
      <c r="AW106" s="15">
        <f t="shared" si="58"/>
        <v>1.9139640123299703E-2</v>
      </c>
    </row>
    <row r="107" spans="1:49" x14ac:dyDescent="0.25">
      <c r="A107" s="13" t="s">
        <v>66</v>
      </c>
      <c r="B107" s="13" t="s">
        <v>76</v>
      </c>
      <c r="C107" s="13" t="str">
        <f t="shared" si="68"/>
        <v>085396R</v>
      </c>
      <c r="D107" s="13" t="str">
        <f t="shared" si="68"/>
        <v>S 74th Street</v>
      </c>
      <c r="E107" s="9">
        <f t="shared" si="68"/>
        <v>6.9</v>
      </c>
      <c r="F107" s="14">
        <f t="shared" si="68"/>
        <v>8</v>
      </c>
      <c r="G107" s="18" t="str">
        <f t="shared" si="68"/>
        <v>Gates</v>
      </c>
      <c r="H107" s="14">
        <f t="shared" si="44"/>
        <v>1.088E-3</v>
      </c>
      <c r="K107" s="14">
        <f t="shared" si="65"/>
        <v>17210</v>
      </c>
      <c r="L107" s="14"/>
      <c r="M107" s="14"/>
      <c r="N107" s="14"/>
      <c r="O107" s="14">
        <v>1.26</v>
      </c>
      <c r="P107" s="10">
        <f t="shared" si="66"/>
        <v>21684.6</v>
      </c>
      <c r="Q107" s="14">
        <f t="shared" si="67"/>
        <v>30</v>
      </c>
      <c r="R107" s="9">
        <f t="shared" si="45"/>
        <v>106.95839047513948</v>
      </c>
      <c r="S107" s="14">
        <v>2</v>
      </c>
      <c r="T107" s="9">
        <f t="shared" si="46"/>
        <v>1.7903300708920569</v>
      </c>
      <c r="U107" s="14">
        <f t="shared" si="63"/>
        <v>28</v>
      </c>
      <c r="V107" s="9">
        <f t="shared" si="47"/>
        <v>1</v>
      </c>
      <c r="W107" s="14" t="s">
        <v>43</v>
      </c>
      <c r="X107" s="9">
        <f t="shared" si="48"/>
        <v>1</v>
      </c>
      <c r="Z107" s="9">
        <f t="shared" si="49"/>
        <v>1</v>
      </c>
      <c r="AB107" s="9">
        <f t="shared" si="50"/>
        <v>1</v>
      </c>
      <c r="AC107" s="14">
        <f t="shared" si="64"/>
        <v>5</v>
      </c>
      <c r="AD107" s="9">
        <f t="shared" si="51"/>
        <v>1.5134623907798572</v>
      </c>
      <c r="AE107" s="15">
        <f t="shared" si="52"/>
        <v>0.31531780443722895</v>
      </c>
      <c r="AF107" s="10">
        <f t="shared" si="53"/>
        <v>2.7373426311386524</v>
      </c>
      <c r="AG107" s="14">
        <v>5</v>
      </c>
      <c r="AH107" s="9">
        <f t="shared" si="54"/>
        <v>0.35378330282574239</v>
      </c>
      <c r="AI107" s="9">
        <f t="shared" si="55"/>
        <v>0.31531780443722895</v>
      </c>
      <c r="AJ107" s="14"/>
      <c r="AK107" s="9">
        <f t="shared" si="56"/>
        <v>0</v>
      </c>
      <c r="AL107" s="15">
        <f t="shared" si="57"/>
        <v>0.11155417429356439</v>
      </c>
      <c r="AW107" s="15">
        <f t="shared" si="58"/>
        <v>5.1471096019050602E-2</v>
      </c>
    </row>
    <row r="108" spans="1:49" x14ac:dyDescent="0.25">
      <c r="A108" s="13" t="s">
        <v>66</v>
      </c>
      <c r="B108" s="13" t="s">
        <v>76</v>
      </c>
      <c r="C108" s="13" t="str">
        <f t="shared" si="68"/>
        <v>085400D</v>
      </c>
      <c r="D108" s="13" t="str">
        <f t="shared" si="68"/>
        <v>Steilacoom Blvd SW</v>
      </c>
      <c r="E108" s="9">
        <f t="shared" si="68"/>
        <v>7.89</v>
      </c>
      <c r="F108" s="14">
        <f t="shared" si="68"/>
        <v>8</v>
      </c>
      <c r="G108" s="18" t="str">
        <f t="shared" si="68"/>
        <v>Gates</v>
      </c>
      <c r="H108" s="14">
        <f t="shared" ref="H108:H116" si="69">IF(G108="Passive",0.002268,IF(G108="Lights",0.003646,IF(G108="Gates",0.001088,"Re-enter Crossing Category")))</f>
        <v>1.088E-3</v>
      </c>
      <c r="K108" s="14">
        <f t="shared" si="65"/>
        <v>20080</v>
      </c>
      <c r="L108" s="14"/>
      <c r="M108" s="14"/>
      <c r="N108" s="14"/>
      <c r="O108" s="14">
        <v>1.1000000000000001</v>
      </c>
      <c r="P108" s="10">
        <f t="shared" si="66"/>
        <v>22088</v>
      </c>
      <c r="Q108" s="14">
        <f t="shared" si="67"/>
        <v>30</v>
      </c>
      <c r="R108" s="9">
        <f t="shared" ref="R108:R116" si="70">IF(G108="Passive",((P108*Q108+0.2)/0.2)^0.3334,IF(G108="Lights",((P108*Q108+0.2)/0.2)^0.2953,IF(G108="Gates",((P108*Q108+0.2)/0.2)^0.3116,"Re-enter Crossing Category")))</f>
        <v>107.57446860110527</v>
      </c>
      <c r="S108" s="14">
        <v>2</v>
      </c>
      <c r="T108" s="9">
        <f t="shared" ref="T108:T116" si="71">IF(G108="Passive",EXP(0.2094*S108),IF(G108="Lights",EXP(0.1088*S108),IF(G108="Gates",EXP(0.2912*S108),"Re-enter Crossing Category")))</f>
        <v>1.7903300708920569</v>
      </c>
      <c r="U108" s="14">
        <f t="shared" si="63"/>
        <v>28</v>
      </c>
      <c r="V108" s="9">
        <f t="shared" ref="V108:V116" si="72">IF(G108="Passive",((U108+0.2)/0.2)^0.1336,IF(G108="Lights",((U108+0.2)/0.2)^0.047,IF(G108="Gates",1,"Re-enter Crossing Category")))</f>
        <v>1</v>
      </c>
      <c r="W108" s="14" t="s">
        <v>43</v>
      </c>
      <c r="X108" s="9">
        <f t="shared" ref="X108:X116" si="73">IF(G108="Passive",IF(W108="Yes",1,0.54),1)</f>
        <v>1</v>
      </c>
      <c r="Z108" s="9">
        <f t="shared" ref="Z108:Z116" si="74">IF(G108="Passive",EXP(0.0077*Y108),1)</f>
        <v>1</v>
      </c>
      <c r="AB108" s="9">
        <f t="shared" ref="AB108:AB116" si="75">IF(G108="Passive",EXP(-0.1*(AA108-1)),1)</f>
        <v>1</v>
      </c>
      <c r="AC108" s="14">
        <f t="shared" si="64"/>
        <v>4</v>
      </c>
      <c r="AD108" s="9">
        <f t="shared" ref="AD108:AD116" si="76">IF(G108="Passive",1,IF(G108="Lights",EXP(0.138*(AC108-1)),IF(G108="Gates",EXP(0.1036*(AC108-1)),"Re-enter Crossing Category")))</f>
        <v>1.364516290635889</v>
      </c>
      <c r="AE108" s="15">
        <f t="shared" ref="AE108:AE116" si="77">H108*R108*T108*V108*X108*Z108*AB108*AD108</f>
        <v>0.28592355570491162</v>
      </c>
      <c r="AF108" s="10">
        <f t="shared" ref="AF108:AF116" si="78">1/(0.05+AI108)</f>
        <v>2.9768677516572821</v>
      </c>
      <c r="AG108" s="14">
        <v>5</v>
      </c>
      <c r="AH108" s="9">
        <f t="shared" ref="AH108:AH116" si="79">AF108/(AF108+AG108)</f>
        <v>0.37318755234958045</v>
      </c>
      <c r="AI108" s="9">
        <f t="shared" ref="AI108:AI116" si="80">AE108</f>
        <v>0.28592355570491162</v>
      </c>
      <c r="AJ108" s="14"/>
      <c r="AK108" s="9">
        <f t="shared" ref="AK108:AK116" si="81">AJ108/AG108</f>
        <v>0</v>
      </c>
      <c r="AL108" s="15">
        <f t="shared" ref="AL108:AL116" si="82">(AH108*AI108)+(AH108*AK108)</f>
        <v>0.10670311191260488</v>
      </c>
      <c r="AW108" s="15">
        <f t="shared" ref="AW108:AW116" si="83">IF(G108="Passive",AL108*$AV$9,IF(G108="Lights",AL108*$AV$10,IF(G108="Gates",AL108*$AV$11,"Re-enter Crossing Category")))</f>
        <v>4.9232815836475888E-2</v>
      </c>
    </row>
    <row r="109" spans="1:49" x14ac:dyDescent="0.25">
      <c r="A109" s="13" t="s">
        <v>66</v>
      </c>
      <c r="B109" s="13" t="s">
        <v>76</v>
      </c>
      <c r="C109" s="13" t="str">
        <f t="shared" ref="C109:G110" si="84">C53</f>
        <v>085402S</v>
      </c>
      <c r="D109" s="13" t="str">
        <f t="shared" si="84"/>
        <v>100th Street SW</v>
      </c>
      <c r="E109" s="9">
        <f t="shared" si="84"/>
        <v>8.59</v>
      </c>
      <c r="F109" s="14">
        <f t="shared" si="84"/>
        <v>8</v>
      </c>
      <c r="G109" s="18" t="str">
        <f t="shared" si="84"/>
        <v>Gates</v>
      </c>
      <c r="H109" s="14">
        <f t="shared" si="69"/>
        <v>1.088E-3</v>
      </c>
      <c r="K109" s="14">
        <f t="shared" si="65"/>
        <v>24230</v>
      </c>
      <c r="L109" s="14"/>
      <c r="M109" s="14"/>
      <c r="N109" s="14"/>
      <c r="O109" s="14">
        <v>1.07</v>
      </c>
      <c r="P109" s="10">
        <f t="shared" si="66"/>
        <v>25926.100000000002</v>
      </c>
      <c r="Q109" s="14">
        <f>14+(2+28)</f>
        <v>44</v>
      </c>
      <c r="R109" s="9">
        <f t="shared" si="70"/>
        <v>127.41467184452104</v>
      </c>
      <c r="S109" s="14">
        <v>2</v>
      </c>
      <c r="T109" s="9">
        <f t="shared" si="71"/>
        <v>1.7903300708920569</v>
      </c>
      <c r="U109" s="14">
        <f t="shared" si="63"/>
        <v>42</v>
      </c>
      <c r="V109" s="9">
        <f t="shared" si="72"/>
        <v>1</v>
      </c>
      <c r="W109" s="14" t="s">
        <v>43</v>
      </c>
      <c r="X109" s="9">
        <f t="shared" si="73"/>
        <v>1</v>
      </c>
      <c r="Z109" s="9">
        <f t="shared" si="74"/>
        <v>1</v>
      </c>
      <c r="AB109" s="9">
        <f t="shared" si="75"/>
        <v>1</v>
      </c>
      <c r="AC109" s="14">
        <f t="shared" si="64"/>
        <v>5</v>
      </c>
      <c r="AD109" s="9">
        <f t="shared" si="76"/>
        <v>1.5134623907798572</v>
      </c>
      <c r="AE109" s="15">
        <f t="shared" si="77"/>
        <v>0.37562377669139091</v>
      </c>
      <c r="AF109" s="10">
        <f t="shared" si="78"/>
        <v>2.3494928027131219</v>
      </c>
      <c r="AG109" s="14">
        <v>5</v>
      </c>
      <c r="AH109" s="9">
        <f t="shared" si="79"/>
        <v>0.31968094476475822</v>
      </c>
      <c r="AI109" s="9">
        <f t="shared" si="80"/>
        <v>0.37562377669139091</v>
      </c>
      <c r="AJ109" s="14">
        <v>1</v>
      </c>
      <c r="AK109" s="9">
        <f t="shared" si="81"/>
        <v>0.2</v>
      </c>
      <c r="AL109" s="15">
        <f t="shared" si="82"/>
        <v>0.18401595276176208</v>
      </c>
      <c r="AW109" s="15">
        <f t="shared" si="83"/>
        <v>8.4904960604277019E-2</v>
      </c>
    </row>
    <row r="110" spans="1:49" x14ac:dyDescent="0.25">
      <c r="A110" s="13" t="s">
        <v>66</v>
      </c>
      <c r="B110" s="13" t="s">
        <v>76</v>
      </c>
      <c r="C110" s="13" t="str">
        <f t="shared" si="84"/>
        <v>085404F</v>
      </c>
      <c r="D110" s="13" t="str">
        <f t="shared" si="84"/>
        <v>108th Street SW</v>
      </c>
      <c r="E110" s="9">
        <f t="shared" si="84"/>
        <v>9.09</v>
      </c>
      <c r="F110" s="14">
        <f t="shared" si="84"/>
        <v>8</v>
      </c>
      <c r="G110" s="18" t="str">
        <f t="shared" si="84"/>
        <v>Gates</v>
      </c>
      <c r="H110" s="14">
        <f t="shared" si="69"/>
        <v>1.088E-3</v>
      </c>
      <c r="K110" s="14">
        <f t="shared" si="65"/>
        <v>13130</v>
      </c>
      <c r="L110" s="14"/>
      <c r="M110" s="14"/>
      <c r="N110" s="14"/>
      <c r="O110" s="14">
        <v>1.1100000000000001</v>
      </c>
      <c r="P110" s="10">
        <f t="shared" si="66"/>
        <v>14574.300000000001</v>
      </c>
      <c r="Q110" s="14">
        <f>14+(2+28)</f>
        <v>44</v>
      </c>
      <c r="R110" s="9">
        <f t="shared" si="70"/>
        <v>106.48118567455479</v>
      </c>
      <c r="S110" s="14">
        <v>2</v>
      </c>
      <c r="T110" s="9">
        <f t="shared" si="71"/>
        <v>1.7903300708920569</v>
      </c>
      <c r="U110" s="14">
        <f t="shared" si="63"/>
        <v>42</v>
      </c>
      <c r="V110" s="9">
        <f t="shared" si="72"/>
        <v>1</v>
      </c>
      <c r="W110" s="14" t="s">
        <v>43</v>
      </c>
      <c r="X110" s="9">
        <f t="shared" si="73"/>
        <v>1</v>
      </c>
      <c r="Z110" s="9">
        <f t="shared" si="74"/>
        <v>1</v>
      </c>
      <c r="AB110" s="9">
        <f t="shared" si="75"/>
        <v>1</v>
      </c>
      <c r="AC110" s="14">
        <f t="shared" si="64"/>
        <v>2</v>
      </c>
      <c r="AD110" s="9">
        <f t="shared" si="76"/>
        <v>1.1091567034898182</v>
      </c>
      <c r="AE110" s="15">
        <f t="shared" si="77"/>
        <v>0.23005294029765386</v>
      </c>
      <c r="AF110" s="10">
        <f t="shared" si="78"/>
        <v>3.5707534401786725</v>
      </c>
      <c r="AG110" s="14">
        <v>5</v>
      </c>
      <c r="AH110" s="9">
        <f t="shared" si="79"/>
        <v>0.41662071661511174</v>
      </c>
      <c r="AI110" s="9">
        <f t="shared" si="80"/>
        <v>0.23005294029765386</v>
      </c>
      <c r="AJ110" s="14"/>
      <c r="AK110" s="9">
        <f t="shared" si="81"/>
        <v>0</v>
      </c>
      <c r="AL110" s="15">
        <f t="shared" si="82"/>
        <v>9.5844820846222062E-2</v>
      </c>
      <c r="AW110" s="15">
        <f t="shared" si="83"/>
        <v>4.422280033844686E-2</v>
      </c>
    </row>
    <row r="111" spans="1:49" x14ac:dyDescent="0.25">
      <c r="A111" s="13" t="s">
        <v>66</v>
      </c>
      <c r="B111" s="13" t="s">
        <v>76</v>
      </c>
      <c r="C111" s="13" t="str">
        <f t="shared" ref="C111:E116" si="85">C55</f>
        <v>085821P</v>
      </c>
      <c r="D111" s="13" t="str">
        <f t="shared" si="85"/>
        <v>Bridgeport Way SW</v>
      </c>
      <c r="E111" s="9">
        <f t="shared" si="85"/>
        <v>10.8</v>
      </c>
      <c r="F111" s="14">
        <v>8</v>
      </c>
      <c r="G111" s="18" t="s">
        <v>39</v>
      </c>
      <c r="H111" s="14">
        <f t="shared" si="69"/>
        <v>1.088E-3</v>
      </c>
      <c r="K111" s="14">
        <f t="shared" si="65"/>
        <v>19210</v>
      </c>
      <c r="L111" s="14"/>
      <c r="M111" s="14"/>
      <c r="N111" s="14"/>
      <c r="O111" s="14">
        <v>1.19</v>
      </c>
      <c r="P111" s="10">
        <f t="shared" si="66"/>
        <v>22859.899999999998</v>
      </c>
      <c r="Q111" s="14">
        <v>16</v>
      </c>
      <c r="R111" s="9">
        <f t="shared" si="70"/>
        <v>89.390316302208333</v>
      </c>
      <c r="S111" s="14">
        <v>2</v>
      </c>
      <c r="T111" s="9">
        <f t="shared" si="71"/>
        <v>1.7903300708920569</v>
      </c>
      <c r="U111" s="14">
        <f t="shared" si="63"/>
        <v>14</v>
      </c>
      <c r="V111" s="9">
        <f t="shared" si="72"/>
        <v>1</v>
      </c>
      <c r="W111" s="14" t="s">
        <v>43</v>
      </c>
      <c r="X111" s="9">
        <f t="shared" si="73"/>
        <v>1</v>
      </c>
      <c r="Z111" s="9">
        <f t="shared" si="74"/>
        <v>1</v>
      </c>
      <c r="AB111" s="9">
        <f t="shared" si="75"/>
        <v>1</v>
      </c>
      <c r="AC111" s="14">
        <f t="shared" si="64"/>
        <v>4</v>
      </c>
      <c r="AD111" s="9">
        <f t="shared" si="76"/>
        <v>1.364516290635889</v>
      </c>
      <c r="AE111" s="15">
        <f t="shared" si="77"/>
        <v>0.23759166477956956</v>
      </c>
      <c r="AF111" s="10">
        <f t="shared" si="78"/>
        <v>3.4771522351542083</v>
      </c>
      <c r="AG111" s="14">
        <v>5</v>
      </c>
      <c r="AH111" s="9">
        <f t="shared" si="79"/>
        <v>0.41017928411556426</v>
      </c>
      <c r="AI111" s="9">
        <f t="shared" si="80"/>
        <v>0.23759166477956956</v>
      </c>
      <c r="AJ111" s="14"/>
      <c r="AK111" s="9">
        <f t="shared" si="81"/>
        <v>0</v>
      </c>
      <c r="AL111" s="15">
        <f t="shared" si="82"/>
        <v>9.7455178971108961E-2</v>
      </c>
      <c r="AW111" s="15">
        <f t="shared" si="83"/>
        <v>4.4965819577269674E-2</v>
      </c>
    </row>
    <row r="112" spans="1:49" x14ac:dyDescent="0.25">
      <c r="A112" s="13" t="s">
        <v>66</v>
      </c>
      <c r="B112" s="13" t="s">
        <v>76</v>
      </c>
      <c r="C112" s="13" t="str">
        <f t="shared" si="85"/>
        <v>085822W</v>
      </c>
      <c r="D112" s="13" t="str">
        <f t="shared" si="85"/>
        <v>Clover Creek Dr SW</v>
      </c>
      <c r="E112" s="9">
        <f t="shared" si="85"/>
        <v>1.1599999999999999</v>
      </c>
      <c r="F112" s="14">
        <v>8</v>
      </c>
      <c r="G112" s="18" t="s">
        <v>39</v>
      </c>
      <c r="H112" s="14">
        <f t="shared" si="69"/>
        <v>1.088E-3</v>
      </c>
      <c r="K112" s="14">
        <f t="shared" si="65"/>
        <v>1280</v>
      </c>
      <c r="L112" s="14"/>
      <c r="M112" s="14"/>
      <c r="N112" s="14"/>
      <c r="O112" s="14">
        <v>1.37</v>
      </c>
      <c r="P112" s="10">
        <f t="shared" si="66"/>
        <v>1753.6000000000001</v>
      </c>
      <c r="Q112" s="14">
        <v>16</v>
      </c>
      <c r="R112" s="9">
        <f t="shared" si="70"/>
        <v>40.161743659211126</v>
      </c>
      <c r="S112" s="14">
        <v>1</v>
      </c>
      <c r="T112" s="9">
        <f t="shared" si="71"/>
        <v>1.3380321636239008</v>
      </c>
      <c r="U112" s="14">
        <f t="shared" si="63"/>
        <v>14</v>
      </c>
      <c r="V112" s="9">
        <f t="shared" si="72"/>
        <v>1</v>
      </c>
      <c r="W112" s="14" t="s">
        <v>43</v>
      </c>
      <c r="X112" s="9">
        <f t="shared" si="73"/>
        <v>1</v>
      </c>
      <c r="Z112" s="9">
        <f t="shared" si="74"/>
        <v>1</v>
      </c>
      <c r="AB112" s="9">
        <f t="shared" si="75"/>
        <v>1</v>
      </c>
      <c r="AC112" s="14">
        <f t="shared" si="64"/>
        <v>2</v>
      </c>
      <c r="AD112" s="9">
        <f t="shared" si="76"/>
        <v>1.1091567034898182</v>
      </c>
      <c r="AE112" s="15">
        <f t="shared" si="77"/>
        <v>6.4848646589518472E-2</v>
      </c>
      <c r="AF112" s="10">
        <f t="shared" si="78"/>
        <v>8.7071117483352545</v>
      </c>
      <c r="AG112" s="14">
        <v>5</v>
      </c>
      <c r="AH112" s="9">
        <f t="shared" si="79"/>
        <v>0.6352258526959732</v>
      </c>
      <c r="AI112" s="9">
        <f t="shared" si="80"/>
        <v>6.4848646589518472E-2</v>
      </c>
      <c r="AJ112" s="14"/>
      <c r="AK112" s="9">
        <f t="shared" si="81"/>
        <v>0</v>
      </c>
      <c r="AL112" s="15">
        <f t="shared" si="82"/>
        <v>4.1193536826006683E-2</v>
      </c>
      <c r="AW112" s="15">
        <f t="shared" si="83"/>
        <v>1.9006697891519483E-2</v>
      </c>
    </row>
    <row r="113" spans="1:49" x14ac:dyDescent="0.25">
      <c r="A113" s="13" t="s">
        <v>66</v>
      </c>
      <c r="B113" s="13" t="s">
        <v>76</v>
      </c>
      <c r="C113" s="13" t="str">
        <f t="shared" si="85"/>
        <v>085828M</v>
      </c>
      <c r="D113" s="13" t="str">
        <f t="shared" si="85"/>
        <v>N Thorne Lane SW</v>
      </c>
      <c r="E113" s="9">
        <f t="shared" si="85"/>
        <v>3.05</v>
      </c>
      <c r="F113" s="14">
        <v>8</v>
      </c>
      <c r="G113" s="18" t="s">
        <v>39</v>
      </c>
      <c r="H113" s="14">
        <f t="shared" si="69"/>
        <v>1.088E-3</v>
      </c>
      <c r="K113" s="14">
        <f t="shared" si="65"/>
        <v>8740</v>
      </c>
      <c r="L113" s="14"/>
      <c r="M113" s="14"/>
      <c r="N113" s="14"/>
      <c r="O113" s="14">
        <v>1.27</v>
      </c>
      <c r="P113" s="10">
        <f t="shared" si="66"/>
        <v>11099.8</v>
      </c>
      <c r="Q113" s="14">
        <v>16</v>
      </c>
      <c r="R113" s="9">
        <f t="shared" si="70"/>
        <v>71.371232107076167</v>
      </c>
      <c r="S113" s="14">
        <v>1</v>
      </c>
      <c r="T113" s="9">
        <f t="shared" si="71"/>
        <v>1.3380321636239008</v>
      </c>
      <c r="U113" s="14">
        <f t="shared" si="63"/>
        <v>14</v>
      </c>
      <c r="V113" s="9">
        <f t="shared" si="72"/>
        <v>1</v>
      </c>
      <c r="W113" s="14" t="s">
        <v>43</v>
      </c>
      <c r="X113" s="9">
        <f t="shared" si="73"/>
        <v>1</v>
      </c>
      <c r="Z113" s="9">
        <f t="shared" si="74"/>
        <v>1</v>
      </c>
      <c r="AB113" s="9">
        <f t="shared" si="75"/>
        <v>1</v>
      </c>
      <c r="AC113" s="14">
        <f t="shared" si="64"/>
        <v>3</v>
      </c>
      <c r="AD113" s="9">
        <f t="shared" si="76"/>
        <v>1.2302285928964003</v>
      </c>
      <c r="AE113" s="15">
        <f t="shared" si="77"/>
        <v>0.12782166176038331</v>
      </c>
      <c r="AF113" s="10">
        <f t="shared" si="78"/>
        <v>5.6236118260300092</v>
      </c>
      <c r="AG113" s="14">
        <v>5</v>
      </c>
      <c r="AH113" s="9">
        <f t="shared" si="79"/>
        <v>0.52935027353418695</v>
      </c>
      <c r="AI113" s="9">
        <f t="shared" si="80"/>
        <v>0.12782166176038331</v>
      </c>
      <c r="AJ113" s="14">
        <v>1</v>
      </c>
      <c r="AK113" s="9">
        <f t="shared" si="81"/>
        <v>0.2</v>
      </c>
      <c r="AL113" s="15">
        <f t="shared" si="82"/>
        <v>0.17353248632329063</v>
      </c>
      <c r="AW113" s="15">
        <f t="shared" si="83"/>
        <v>8.0067889189566296E-2</v>
      </c>
    </row>
    <row r="114" spans="1:49" x14ac:dyDescent="0.25">
      <c r="A114" s="13" t="s">
        <v>66</v>
      </c>
      <c r="B114" s="13" t="s">
        <v>76</v>
      </c>
      <c r="C114" s="13" t="str">
        <f t="shared" si="85"/>
        <v>085829U</v>
      </c>
      <c r="D114" s="13" t="str">
        <f t="shared" si="85"/>
        <v>Berkeley Street SW</v>
      </c>
      <c r="E114" s="9">
        <f t="shared" si="85"/>
        <v>3.95</v>
      </c>
      <c r="F114" s="14">
        <v>8</v>
      </c>
      <c r="G114" s="18" t="s">
        <v>39</v>
      </c>
      <c r="H114" s="14">
        <f t="shared" si="69"/>
        <v>1.088E-3</v>
      </c>
      <c r="K114" s="14">
        <f t="shared" si="65"/>
        <v>8770</v>
      </c>
      <c r="L114" s="14"/>
      <c r="M114" s="14"/>
      <c r="N114" s="14"/>
      <c r="O114" s="14">
        <v>1.1299999999999999</v>
      </c>
      <c r="P114" s="10">
        <f t="shared" si="66"/>
        <v>9910.0999999999985</v>
      </c>
      <c r="Q114" s="14">
        <v>16</v>
      </c>
      <c r="R114" s="9">
        <f t="shared" si="70"/>
        <v>68.893924840503502</v>
      </c>
      <c r="S114" s="14">
        <v>1</v>
      </c>
      <c r="T114" s="9">
        <f t="shared" si="71"/>
        <v>1.3380321636239008</v>
      </c>
      <c r="U114" s="14">
        <f t="shared" si="63"/>
        <v>14</v>
      </c>
      <c r="V114" s="9">
        <f t="shared" si="72"/>
        <v>1</v>
      </c>
      <c r="W114" s="14" t="s">
        <v>43</v>
      </c>
      <c r="X114" s="9">
        <f t="shared" si="73"/>
        <v>1</v>
      </c>
      <c r="Z114" s="9">
        <f t="shared" si="74"/>
        <v>1</v>
      </c>
      <c r="AB114" s="9">
        <f t="shared" si="75"/>
        <v>1</v>
      </c>
      <c r="AC114" s="14">
        <f t="shared" si="64"/>
        <v>3</v>
      </c>
      <c r="AD114" s="9">
        <f t="shared" si="76"/>
        <v>1.2302285928964003</v>
      </c>
      <c r="AE114" s="15">
        <f t="shared" si="77"/>
        <v>0.12338495074733362</v>
      </c>
      <c r="AF114" s="10">
        <f t="shared" si="78"/>
        <v>5.7675132454676339</v>
      </c>
      <c r="AG114" s="14">
        <v>5</v>
      </c>
      <c r="AH114" s="9">
        <f t="shared" si="79"/>
        <v>0.53564022759808094</v>
      </c>
      <c r="AI114" s="9">
        <f t="shared" si="80"/>
        <v>0.12338495074733362</v>
      </c>
      <c r="AJ114" s="14"/>
      <c r="AK114" s="9">
        <f t="shared" si="81"/>
        <v>0</v>
      </c>
      <c r="AL114" s="15">
        <f t="shared" si="82"/>
        <v>6.6089943100479789E-2</v>
      </c>
      <c r="AW114" s="15">
        <f t="shared" si="83"/>
        <v>3.0493899746561373E-2</v>
      </c>
    </row>
    <row r="115" spans="1:49" x14ac:dyDescent="0.25">
      <c r="A115" s="13" t="s">
        <v>66</v>
      </c>
      <c r="B115" s="13" t="s">
        <v>76</v>
      </c>
      <c r="C115" s="13" t="str">
        <f t="shared" si="85"/>
        <v>085830N</v>
      </c>
      <c r="D115" s="13" t="str">
        <f t="shared" si="85"/>
        <v>41st Division Dr</v>
      </c>
      <c r="E115" s="9">
        <f t="shared" si="85"/>
        <v>5.73</v>
      </c>
      <c r="F115" s="14">
        <v>8</v>
      </c>
      <c r="G115" s="18" t="s">
        <v>39</v>
      </c>
      <c r="H115" s="14">
        <f t="shared" si="69"/>
        <v>1.088E-3</v>
      </c>
      <c r="K115" s="14">
        <f t="shared" si="65"/>
        <v>19230</v>
      </c>
      <c r="L115" s="14"/>
      <c r="M115" s="14"/>
      <c r="N115" s="14"/>
      <c r="O115" s="14">
        <v>1.18</v>
      </c>
      <c r="P115" s="10">
        <f t="shared" si="66"/>
        <v>22691.399999999998</v>
      </c>
      <c r="Q115" s="14">
        <v>16</v>
      </c>
      <c r="R115" s="9">
        <f t="shared" si="70"/>
        <v>89.184481741854057</v>
      </c>
      <c r="S115" s="14">
        <v>1</v>
      </c>
      <c r="T115" s="9">
        <f t="shared" si="71"/>
        <v>1.3380321636239008</v>
      </c>
      <c r="U115" s="14">
        <f t="shared" si="63"/>
        <v>14</v>
      </c>
      <c r="V115" s="9">
        <f t="shared" si="72"/>
        <v>1</v>
      </c>
      <c r="W115" s="14" t="s">
        <v>43</v>
      </c>
      <c r="X115" s="9">
        <f t="shared" si="73"/>
        <v>1</v>
      </c>
      <c r="Z115" s="9">
        <f t="shared" si="74"/>
        <v>1</v>
      </c>
      <c r="AB115" s="9">
        <f t="shared" si="75"/>
        <v>1</v>
      </c>
      <c r="AC115" s="14">
        <f t="shared" si="64"/>
        <v>5</v>
      </c>
      <c r="AD115" s="9">
        <f t="shared" si="76"/>
        <v>1.5134623907798572</v>
      </c>
      <c r="AE115" s="15">
        <f t="shared" si="77"/>
        <v>0.19649720383898819</v>
      </c>
      <c r="AF115" s="10">
        <f t="shared" si="78"/>
        <v>4.0568411504302473</v>
      </c>
      <c r="AG115" s="14">
        <v>5</v>
      </c>
      <c r="AH115" s="9">
        <f t="shared" si="79"/>
        <v>0.44793113659032496</v>
      </c>
      <c r="AI115" s="9">
        <f t="shared" si="80"/>
        <v>0.19649720383898819</v>
      </c>
      <c r="AJ115" s="14"/>
      <c r="AK115" s="9">
        <f t="shared" si="81"/>
        <v>0</v>
      </c>
      <c r="AL115" s="15">
        <f t="shared" si="82"/>
        <v>8.8017215852418743E-2</v>
      </c>
      <c r="AW115" s="15">
        <f t="shared" si="83"/>
        <v>4.0611143394306007E-2</v>
      </c>
    </row>
    <row r="116" spans="1:49" x14ac:dyDescent="0.25">
      <c r="A116" s="13" t="s">
        <v>66</v>
      </c>
      <c r="B116" s="13" t="s">
        <v>76</v>
      </c>
      <c r="C116" s="13" t="str">
        <f t="shared" si="85"/>
        <v>085836E</v>
      </c>
      <c r="D116" s="13" t="str">
        <f t="shared" si="85"/>
        <v>Barksdale Ave</v>
      </c>
      <c r="E116" s="9">
        <f t="shared" si="85"/>
        <v>7.59</v>
      </c>
      <c r="F116" s="14">
        <v>8</v>
      </c>
      <c r="G116" s="18" t="s">
        <v>39</v>
      </c>
      <c r="H116" s="14">
        <f t="shared" si="69"/>
        <v>1.088E-3</v>
      </c>
      <c r="K116" s="14">
        <f t="shared" si="65"/>
        <v>14650</v>
      </c>
      <c r="L116" s="14"/>
      <c r="M116" s="14"/>
      <c r="N116" s="14"/>
      <c r="O116" s="14">
        <v>1.23</v>
      </c>
      <c r="P116" s="10">
        <f t="shared" si="66"/>
        <v>18019.5</v>
      </c>
      <c r="Q116" s="14">
        <v>16</v>
      </c>
      <c r="R116" s="9">
        <f t="shared" si="70"/>
        <v>83.002728783044276</v>
      </c>
      <c r="S116" s="14">
        <v>1</v>
      </c>
      <c r="T116" s="9">
        <f t="shared" si="71"/>
        <v>1.3380321636239008</v>
      </c>
      <c r="U116" s="14">
        <f t="shared" si="63"/>
        <v>14</v>
      </c>
      <c r="V116" s="9">
        <f t="shared" si="72"/>
        <v>1</v>
      </c>
      <c r="W116" s="14" t="s">
        <v>43</v>
      </c>
      <c r="X116" s="9">
        <f t="shared" si="73"/>
        <v>1</v>
      </c>
      <c r="Z116" s="9">
        <f t="shared" si="74"/>
        <v>1</v>
      </c>
      <c r="AB116" s="9">
        <f t="shared" si="75"/>
        <v>1</v>
      </c>
      <c r="AC116" s="14">
        <f t="shared" si="64"/>
        <v>3</v>
      </c>
      <c r="AD116" s="9">
        <f t="shared" si="76"/>
        <v>1.2302285928964003</v>
      </c>
      <c r="AE116" s="15">
        <f t="shared" si="77"/>
        <v>0.14865298539021896</v>
      </c>
      <c r="AF116" s="10">
        <f t="shared" si="78"/>
        <v>5.033903709202634</v>
      </c>
      <c r="AG116" s="14">
        <v>5</v>
      </c>
      <c r="AH116" s="9">
        <f t="shared" si="79"/>
        <v>0.50168945757230754</v>
      </c>
      <c r="AI116" s="9">
        <f t="shared" si="80"/>
        <v>0.14865298539021896</v>
      </c>
      <c r="AJ116" s="14"/>
      <c r="AK116" s="9">
        <f t="shared" si="81"/>
        <v>0</v>
      </c>
      <c r="AL116" s="15">
        <f t="shared" si="82"/>
        <v>7.4577635606923112E-2</v>
      </c>
      <c r="AW116" s="15">
        <f t="shared" si="83"/>
        <v>3.4410121069034322E-2</v>
      </c>
    </row>
    <row r="117" spans="1:49" x14ac:dyDescent="0.25">
      <c r="K117" s="14"/>
    </row>
    <row r="120" spans="1:49" x14ac:dyDescent="0.25">
      <c r="I120" s="1" t="s">
        <v>100</v>
      </c>
      <c r="J120" s="3" t="s">
        <v>108</v>
      </c>
      <c r="P120" s="41"/>
    </row>
    <row r="121" spans="1:49" x14ac:dyDescent="0.25">
      <c r="H121" s="4">
        <v>1</v>
      </c>
      <c r="I121" s="23" t="s">
        <v>101</v>
      </c>
      <c r="J121" s="4" t="s">
        <v>37</v>
      </c>
      <c r="P121" s="42"/>
    </row>
    <row r="122" spans="1:49" x14ac:dyDescent="0.25">
      <c r="H122" s="4">
        <v>2</v>
      </c>
      <c r="I122" s="23" t="s">
        <v>102</v>
      </c>
      <c r="J122" s="4" t="s">
        <v>37</v>
      </c>
      <c r="P122" s="42"/>
    </row>
    <row r="123" spans="1:49" x14ac:dyDescent="0.25">
      <c r="H123" s="4">
        <v>3</v>
      </c>
      <c r="I123" s="23" t="s">
        <v>103</v>
      </c>
      <c r="J123" s="4" t="s">
        <v>37</v>
      </c>
      <c r="P123" s="42"/>
    </row>
    <row r="124" spans="1:49" x14ac:dyDescent="0.25">
      <c r="H124" s="4">
        <v>4</v>
      </c>
      <c r="I124" s="23" t="s">
        <v>104</v>
      </c>
      <c r="J124" s="4" t="s">
        <v>37</v>
      </c>
      <c r="P124" s="42"/>
    </row>
    <row r="125" spans="1:49" x14ac:dyDescent="0.25">
      <c r="H125" s="4">
        <v>5</v>
      </c>
      <c r="I125" s="23" t="s">
        <v>105</v>
      </c>
      <c r="J125" s="4" t="s">
        <v>37</v>
      </c>
      <c r="P125" s="42"/>
    </row>
    <row r="126" spans="1:49" x14ac:dyDescent="0.25">
      <c r="H126" s="4">
        <v>6</v>
      </c>
      <c r="I126" s="23" t="s">
        <v>106</v>
      </c>
      <c r="J126" s="4" t="s">
        <v>37</v>
      </c>
      <c r="P126" s="42"/>
    </row>
    <row r="127" spans="1:49" x14ac:dyDescent="0.25">
      <c r="H127" s="4">
        <v>7</v>
      </c>
      <c r="I127" s="23" t="s">
        <v>107</v>
      </c>
      <c r="J127" s="4" t="s">
        <v>38</v>
      </c>
      <c r="P127" s="42"/>
    </row>
    <row r="128" spans="1:49" x14ac:dyDescent="0.25">
      <c r="H128" s="4">
        <v>8</v>
      </c>
      <c r="I128" s="23" t="s">
        <v>39</v>
      </c>
      <c r="J128" s="4" t="s">
        <v>39</v>
      </c>
      <c r="P128" s="42"/>
    </row>
  </sheetData>
  <autoFilter ref="A11:DD116"/>
  <mergeCells count="4">
    <mergeCell ref="G10:AE10"/>
    <mergeCell ref="AF10:AL10"/>
    <mergeCell ref="AM7:AW7"/>
    <mergeCell ref="AW8:AW11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6"/>
  <sheetViews>
    <sheetView tabSelected="1" zoomScale="80" zoomScaleNormal="80" workbookViewId="0">
      <pane xSplit="3" topLeftCell="V1" activePane="topRight" state="frozenSplit"/>
      <selection pane="topRight" activeCell="V39" sqref="V39"/>
    </sheetView>
  </sheetViews>
  <sheetFormatPr defaultRowHeight="15" x14ac:dyDescent="0.25"/>
  <cols>
    <col min="1" max="1" width="28.7109375" style="11" bestFit="1" customWidth="1"/>
    <col min="2" max="2" width="9.140625" style="11"/>
    <col min="3" max="3" width="31" style="11" bestFit="1" customWidth="1"/>
    <col min="4" max="4" width="9.140625" style="29"/>
    <col min="5" max="5" width="10.85546875" style="29" bestFit="1" customWidth="1"/>
    <col min="6" max="6" width="9" style="29" bestFit="1" customWidth="1"/>
    <col min="7" max="9" width="9.140625" style="36"/>
    <col min="10" max="10" width="11" customWidth="1"/>
    <col min="11" max="11" width="11.140625" customWidth="1"/>
    <col min="12" max="13" width="8.42578125" style="23" bestFit="1" customWidth="1"/>
    <col min="14" max="14" width="9.28515625" bestFit="1" customWidth="1"/>
    <col min="15" max="15" width="11" customWidth="1"/>
    <col min="16" max="18" width="11" style="23" customWidth="1"/>
    <col min="19" max="19" width="9.7109375" bestFit="1" customWidth="1"/>
    <col min="20" max="20" width="9" customWidth="1"/>
    <col min="21" max="21" width="14.42578125" style="29" bestFit="1" customWidth="1"/>
    <col min="22" max="22" width="11.42578125" style="29" bestFit="1" customWidth="1"/>
    <col min="23" max="23" width="11.42578125" style="36" bestFit="1" customWidth="1"/>
    <col min="24" max="24" width="12.85546875" style="36" bestFit="1" customWidth="1"/>
    <col min="25" max="25" width="9.140625" style="36"/>
  </cols>
  <sheetData>
    <row r="1" spans="1:25" ht="30" customHeight="1" x14ac:dyDescent="0.25">
      <c r="A1" s="81" t="s">
        <v>77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71" t="s">
        <v>178</v>
      </c>
      <c r="M1" s="72"/>
      <c r="N1" s="72"/>
      <c r="O1" s="72"/>
      <c r="P1" s="72"/>
      <c r="Q1" s="83" t="s">
        <v>179</v>
      </c>
      <c r="R1" s="84"/>
      <c r="S1" s="82"/>
      <c r="T1" s="82"/>
      <c r="U1" s="63" t="s">
        <v>182</v>
      </c>
      <c r="V1" s="64"/>
      <c r="W1" s="64"/>
      <c r="X1" s="64"/>
      <c r="Y1" s="64"/>
    </row>
    <row r="2" spans="1:25" ht="75" x14ac:dyDescent="0.25">
      <c r="A2" s="5" t="str">
        <f>Analysis!B11</f>
        <v>Route Alignment</v>
      </c>
      <c r="B2" s="5" t="str">
        <f>Analysis!C11</f>
        <v>Crossing ID</v>
      </c>
      <c r="C2" s="5" t="str">
        <f>Analysis!D11</f>
        <v>Crossing Name</v>
      </c>
      <c r="D2" s="30" t="str">
        <f>Analysis!E11</f>
        <v>Crossing MP</v>
      </c>
      <c r="E2" s="30" t="s">
        <v>166</v>
      </c>
      <c r="F2" s="30" t="s">
        <v>177</v>
      </c>
      <c r="G2" s="37" t="s">
        <v>176</v>
      </c>
      <c r="H2" s="37" t="s">
        <v>67</v>
      </c>
      <c r="I2" s="37" t="s">
        <v>66</v>
      </c>
      <c r="J2" s="37" t="s">
        <v>172</v>
      </c>
      <c r="K2" s="37" t="s">
        <v>173</v>
      </c>
      <c r="L2" s="37" t="s">
        <v>183</v>
      </c>
      <c r="M2" s="37" t="s">
        <v>181</v>
      </c>
      <c r="N2" s="45" t="s">
        <v>67</v>
      </c>
      <c r="O2" s="37" t="s">
        <v>66</v>
      </c>
      <c r="P2" s="37"/>
      <c r="Q2" s="37" t="s">
        <v>183</v>
      </c>
      <c r="R2" s="37" t="s">
        <v>181</v>
      </c>
      <c r="S2" s="58" t="s">
        <v>67</v>
      </c>
      <c r="T2" s="59" t="s">
        <v>66</v>
      </c>
      <c r="U2" s="62" t="s">
        <v>166</v>
      </c>
      <c r="V2" s="62" t="s">
        <v>180</v>
      </c>
      <c r="W2" s="37" t="s">
        <v>181</v>
      </c>
      <c r="X2" s="37" t="s">
        <v>67</v>
      </c>
      <c r="Y2" s="37" t="s">
        <v>66</v>
      </c>
    </row>
    <row r="3" spans="1:25" x14ac:dyDescent="0.25">
      <c r="A3" s="18" t="str">
        <f>Analysis!B33</f>
        <v>Point Def</v>
      </c>
      <c r="B3" s="18" t="str">
        <f>Analysis!C33</f>
        <v>085714A</v>
      </c>
      <c r="C3" s="18" t="str">
        <f>Analysis!D33</f>
        <v>E "D" St</v>
      </c>
      <c r="D3" s="9">
        <f>Analysis!E33</f>
        <v>39.64</v>
      </c>
      <c r="E3" s="9">
        <f>Analysis!AJ33/Analysis!AG33</f>
        <v>0</v>
      </c>
      <c r="F3" s="43">
        <f t="shared" ref="F3:F9" si="0">G3</f>
        <v>4.531542773394346E-2</v>
      </c>
      <c r="G3" s="43">
        <f>Analysis!AW33</f>
        <v>4.531542773394346E-2</v>
      </c>
      <c r="H3" s="43">
        <f>Analysis!AW61</f>
        <v>4.8549985212450943E-2</v>
      </c>
      <c r="I3" s="43">
        <f>Analysis!AW89</f>
        <v>4.6997738377760424E-2</v>
      </c>
      <c r="J3" s="44">
        <f t="shared" ref="J3:J33" si="1">I3/H3-100%</f>
        <v>-3.1972138156129315E-2</v>
      </c>
      <c r="K3" s="44">
        <f>Analysis!Q89/Analysis!Q61-100%</f>
        <v>-0.19444444444444442</v>
      </c>
      <c r="L3" s="23">
        <f>Analysis!Q33</f>
        <v>49</v>
      </c>
      <c r="M3" s="23">
        <f>Analysis!Q33</f>
        <v>49</v>
      </c>
      <c r="N3">
        <f>Analysis!Q61</f>
        <v>72</v>
      </c>
      <c r="O3">
        <f>Analysis!Q89</f>
        <v>58</v>
      </c>
      <c r="P3" s="73">
        <f>O3/N3-1</f>
        <v>-0.19444444444444442</v>
      </c>
      <c r="S3" s="60"/>
      <c r="T3" s="61"/>
      <c r="U3" s="70" t="str">
        <f t="shared" ref="U3:U30" si="2">IF(E3=0,"Unknown",ROUND(1/E3,0))</f>
        <v>Unknown</v>
      </c>
      <c r="V3" s="70">
        <f t="shared" ref="V3:V30" si="3">IF(F3=0,"Unknown",ROUND(1/F3,0))</f>
        <v>22</v>
      </c>
      <c r="W3" s="70">
        <f t="shared" ref="W3:W30" si="4">IF(G3=0,"Unknown",ROUND(1/G3,0))</f>
        <v>22</v>
      </c>
      <c r="X3" s="70">
        <f>IF(H3=0,"Unknown",ROUND(1/H3,1))</f>
        <v>20.6</v>
      </c>
      <c r="Y3" s="70">
        <f>IF(I3=0,"Unknown",ROUND(1/I3,1))</f>
        <v>21.3</v>
      </c>
    </row>
    <row r="4" spans="1:25" x14ac:dyDescent="0.25">
      <c r="A4" s="18" t="str">
        <f>Analysis!B34</f>
        <v>Point Def</v>
      </c>
      <c r="B4" s="18" t="str">
        <f>Analysis!C34</f>
        <v>085730J</v>
      </c>
      <c r="C4" s="18" t="str">
        <f>Analysis!D34</f>
        <v>McCarver</v>
      </c>
      <c r="D4" s="9">
        <f>Analysis!E34</f>
        <v>2.69</v>
      </c>
      <c r="E4" s="9">
        <f>Analysis!AJ34/Analysis!AG34</f>
        <v>0</v>
      </c>
      <c r="F4" s="43">
        <f t="shared" si="0"/>
        <v>3.6274278387361823E-2</v>
      </c>
      <c r="G4" s="43">
        <f>Analysis!AW34</f>
        <v>3.6274278387361823E-2</v>
      </c>
      <c r="H4" s="43">
        <f>Analysis!AW62</f>
        <v>3.9363358005881935E-2</v>
      </c>
      <c r="I4" s="43">
        <f>Analysis!AW90</f>
        <v>3.7850600981416009E-2</v>
      </c>
      <c r="J4" s="44">
        <f t="shared" si="1"/>
        <v>-3.8430588778525454E-2</v>
      </c>
      <c r="K4" s="44">
        <f>Analysis!Q90/Analysis!Q62-100%</f>
        <v>-0.19444444444444442</v>
      </c>
      <c r="L4" s="23">
        <f>Analysis!Q34</f>
        <v>49</v>
      </c>
      <c r="M4" s="23">
        <f>Analysis!Q34</f>
        <v>49</v>
      </c>
      <c r="N4" s="23">
        <f>Analysis!Q62</f>
        <v>72</v>
      </c>
      <c r="O4" s="23">
        <f>Analysis!Q90</f>
        <v>58</v>
      </c>
      <c r="P4" s="73">
        <f t="shared" ref="P4:P30" si="5">O4/N4-1</f>
        <v>-0.19444444444444442</v>
      </c>
      <c r="S4" s="60"/>
      <c r="T4" s="61"/>
      <c r="U4" s="70" t="str">
        <f t="shared" si="2"/>
        <v>Unknown</v>
      </c>
      <c r="V4" s="70">
        <f t="shared" si="3"/>
        <v>28</v>
      </c>
      <c r="W4" s="70">
        <f t="shared" si="4"/>
        <v>28</v>
      </c>
      <c r="X4" s="70">
        <f t="shared" ref="X4:X30" si="6">IF(H4=0,"Unknown",ROUND(1/H4,0))</f>
        <v>25</v>
      </c>
      <c r="Y4" s="70">
        <f t="shared" ref="Y4:Y30" si="7">IF(I4=0,"Unknown",ROUND(1/I4,0))</f>
        <v>26</v>
      </c>
    </row>
    <row r="5" spans="1:25" x14ac:dyDescent="0.25">
      <c r="A5" s="18" t="str">
        <f>Analysis!B35</f>
        <v>Point Def</v>
      </c>
      <c r="B5" s="18" t="str">
        <f>Analysis!C35</f>
        <v>085742D</v>
      </c>
      <c r="C5" s="18" t="str">
        <f>Analysis!D35</f>
        <v>6th Ave</v>
      </c>
      <c r="D5" s="9">
        <f>Analysis!E35</f>
        <v>9.75</v>
      </c>
      <c r="E5" s="9">
        <f>Analysis!AJ35/Analysis!AG35</f>
        <v>0</v>
      </c>
      <c r="F5" s="43">
        <f t="shared" si="0"/>
        <v>3.1008700147550212E-2</v>
      </c>
      <c r="G5" s="43">
        <f>Analysis!AW35</f>
        <v>3.1008700147550212E-2</v>
      </c>
      <c r="H5" s="43">
        <f>Analysis!AW63</f>
        <v>3.3792629744248036E-2</v>
      </c>
      <c r="I5" s="43">
        <f>Analysis!AW91</f>
        <v>3.2363028285127063E-2</v>
      </c>
      <c r="J5" s="44">
        <f t="shared" si="1"/>
        <v>-4.2305125997609272E-2</v>
      </c>
      <c r="K5" s="44">
        <f>Analysis!Q91/Analysis!Q63-100%</f>
        <v>-0.19444444444444442</v>
      </c>
      <c r="L5" s="23">
        <f>Analysis!Q35</f>
        <v>49</v>
      </c>
      <c r="M5" s="23">
        <f>Analysis!Q35</f>
        <v>49</v>
      </c>
      <c r="N5" s="23">
        <f>Analysis!Q63</f>
        <v>72</v>
      </c>
      <c r="O5" s="23">
        <f>Analysis!Q91</f>
        <v>58</v>
      </c>
      <c r="P5" s="73">
        <f t="shared" si="5"/>
        <v>-0.19444444444444442</v>
      </c>
      <c r="S5" s="60"/>
      <c r="T5" s="61"/>
      <c r="U5" s="70" t="str">
        <f t="shared" si="2"/>
        <v>Unknown</v>
      </c>
      <c r="V5" s="70">
        <f t="shared" si="3"/>
        <v>32</v>
      </c>
      <c r="W5" s="70">
        <f t="shared" si="4"/>
        <v>32</v>
      </c>
      <c r="X5" s="70">
        <f t="shared" si="6"/>
        <v>30</v>
      </c>
      <c r="Y5" s="70">
        <f t="shared" si="7"/>
        <v>31</v>
      </c>
    </row>
    <row r="6" spans="1:25" x14ac:dyDescent="0.25">
      <c r="A6" s="18" t="str">
        <f>Analysis!B36</f>
        <v>Point Def</v>
      </c>
      <c r="B6" s="18" t="str">
        <f>Analysis!C36</f>
        <v>085743K</v>
      </c>
      <c r="C6" s="18" t="str">
        <f>Analysis!D36</f>
        <v>S 19th St</v>
      </c>
      <c r="D6" s="9">
        <f>Analysis!E36</f>
        <v>10.06</v>
      </c>
      <c r="E6" s="9">
        <f>Analysis!AJ36/Analysis!AG36</f>
        <v>0</v>
      </c>
      <c r="F6" s="43">
        <f t="shared" si="0"/>
        <v>3.9858777206451014E-2</v>
      </c>
      <c r="G6" s="43">
        <f>Analysis!AW36</f>
        <v>3.9858777206451014E-2</v>
      </c>
      <c r="H6" s="43">
        <f>Analysis!AW64</f>
        <v>4.259909714314386E-2</v>
      </c>
      <c r="I6" s="43">
        <f>Analysis!AW92</f>
        <v>4.105847365242668E-2</v>
      </c>
      <c r="J6" s="44">
        <f t="shared" si="1"/>
        <v>-3.6165637162221764E-2</v>
      </c>
      <c r="K6" s="44">
        <f>Analysis!Q92/Analysis!Q64-100%</f>
        <v>-0.19444444444444442</v>
      </c>
      <c r="L6" s="23">
        <f>Analysis!Q36</f>
        <v>49</v>
      </c>
      <c r="M6" s="23">
        <f>Analysis!Q36</f>
        <v>49</v>
      </c>
      <c r="N6" s="23">
        <f>Analysis!Q64</f>
        <v>72</v>
      </c>
      <c r="O6" s="23">
        <f>Analysis!Q92</f>
        <v>58</v>
      </c>
      <c r="P6" s="73">
        <f t="shared" si="5"/>
        <v>-0.19444444444444442</v>
      </c>
      <c r="S6" s="60"/>
      <c r="T6" s="61"/>
      <c r="U6" s="70" t="str">
        <f t="shared" si="2"/>
        <v>Unknown</v>
      </c>
      <c r="V6" s="70">
        <f t="shared" si="3"/>
        <v>25</v>
      </c>
      <c r="W6" s="70">
        <f t="shared" si="4"/>
        <v>25</v>
      </c>
      <c r="X6" s="70">
        <f t="shared" si="6"/>
        <v>23</v>
      </c>
      <c r="Y6" s="70">
        <f t="shared" si="7"/>
        <v>24</v>
      </c>
    </row>
    <row r="7" spans="1:25" x14ac:dyDescent="0.25">
      <c r="A7" s="18" t="str">
        <f>Analysis!B37</f>
        <v>Point Def</v>
      </c>
      <c r="B7" s="18" t="str">
        <f>Analysis!C37</f>
        <v>085754X</v>
      </c>
      <c r="C7" s="18" t="str">
        <f>Analysis!D37</f>
        <v>Sunnyside Beach Ped</v>
      </c>
      <c r="D7" s="9">
        <f>Analysis!E37</f>
        <v>14.94</v>
      </c>
      <c r="E7" s="9">
        <f>Analysis!AJ37/Analysis!AG37</f>
        <v>0.2</v>
      </c>
      <c r="F7" s="43">
        <f t="shared" si="0"/>
        <v>5.0850066868339192E-2</v>
      </c>
      <c r="G7" s="43">
        <f>Analysis!AW37</f>
        <v>5.0850066868339192E-2</v>
      </c>
      <c r="H7" s="43">
        <f>Analysis!AW65</f>
        <v>5.1317189557107304E-2</v>
      </c>
      <c r="I7" s="43">
        <f>Analysis!AW93</f>
        <v>5.1097830934606819E-2</v>
      </c>
      <c r="J7" s="44">
        <f t="shared" si="1"/>
        <v>-4.2745642228979586E-3</v>
      </c>
      <c r="K7" s="44">
        <f>Analysis!Q93/Analysis!Q65-100%</f>
        <v>-0.19444444444444442</v>
      </c>
      <c r="L7" s="23">
        <f>Analysis!Q37</f>
        <v>49</v>
      </c>
      <c r="M7" s="23">
        <f>Analysis!Q37</f>
        <v>49</v>
      </c>
      <c r="N7" s="23">
        <f>Analysis!Q65</f>
        <v>72</v>
      </c>
      <c r="O7" s="23">
        <f>Analysis!Q93</f>
        <v>58</v>
      </c>
      <c r="P7" s="73">
        <f t="shared" si="5"/>
        <v>-0.19444444444444442</v>
      </c>
      <c r="S7" s="60"/>
      <c r="T7" s="61"/>
      <c r="U7" s="70">
        <f t="shared" si="2"/>
        <v>5</v>
      </c>
      <c r="V7" s="70">
        <f t="shared" si="3"/>
        <v>20</v>
      </c>
      <c r="W7" s="70">
        <f t="shared" si="4"/>
        <v>20</v>
      </c>
      <c r="X7" s="70">
        <f t="shared" si="6"/>
        <v>19</v>
      </c>
      <c r="Y7" s="70">
        <f t="shared" si="7"/>
        <v>20</v>
      </c>
    </row>
    <row r="8" spans="1:25" x14ac:dyDescent="0.25">
      <c r="A8" s="18" t="str">
        <f>Analysis!B38</f>
        <v>Point Def</v>
      </c>
      <c r="B8" s="18" t="str">
        <f>Analysis!C38</f>
        <v>085755E</v>
      </c>
      <c r="C8" s="18" t="str">
        <f>Analysis!D38</f>
        <v>Steilacoom/Union Ferry Terminal</v>
      </c>
      <c r="D8" s="9">
        <f>Analysis!E38</f>
        <v>15.72</v>
      </c>
      <c r="E8" s="9">
        <f>Analysis!AJ38/Analysis!AG38</f>
        <v>0.2</v>
      </c>
      <c r="F8" s="43">
        <f t="shared" si="0"/>
        <v>8.2338949382229229E-2</v>
      </c>
      <c r="G8" s="43">
        <f>Analysis!AW38</f>
        <v>8.2338949382229229E-2</v>
      </c>
      <c r="H8" s="43">
        <f>Analysis!AW66</f>
        <v>8.3027856076875059E-2</v>
      </c>
      <c r="I8" s="43">
        <f>Analysis!AW94</f>
        <v>8.2717134377788312E-2</v>
      </c>
      <c r="J8" s="44">
        <f t="shared" si="1"/>
        <v>-3.7423789288145715E-3</v>
      </c>
      <c r="K8" s="44">
        <f>Analysis!Q94/Analysis!Q66-100%</f>
        <v>-0.19444444444444442</v>
      </c>
      <c r="L8" s="23">
        <f>Analysis!Q38</f>
        <v>49</v>
      </c>
      <c r="M8" s="23">
        <f>Analysis!Q38</f>
        <v>49</v>
      </c>
      <c r="N8" s="23">
        <f>Analysis!Q66</f>
        <v>72</v>
      </c>
      <c r="O8" s="23">
        <f>Analysis!Q94</f>
        <v>58</v>
      </c>
      <c r="P8" s="73">
        <f t="shared" si="5"/>
        <v>-0.19444444444444442</v>
      </c>
      <c r="S8" s="60"/>
      <c r="T8" s="61"/>
      <c r="U8" s="70">
        <f t="shared" si="2"/>
        <v>5</v>
      </c>
      <c r="V8" s="70">
        <f t="shared" si="3"/>
        <v>12</v>
      </c>
      <c r="W8" s="70">
        <f t="shared" si="4"/>
        <v>12</v>
      </c>
      <c r="X8" s="70">
        <f t="shared" si="6"/>
        <v>12</v>
      </c>
      <c r="Y8" s="70">
        <f t="shared" si="7"/>
        <v>12</v>
      </c>
    </row>
    <row r="9" spans="1:25" x14ac:dyDescent="0.25">
      <c r="A9" s="18" t="str">
        <f>Analysis!B39</f>
        <v>Point Def</v>
      </c>
      <c r="B9" s="18" t="str">
        <f>Analysis!C39</f>
        <v>085758A</v>
      </c>
      <c r="C9" s="18" t="str">
        <f>Analysis!D39</f>
        <v>Solo Point Road</v>
      </c>
      <c r="D9" s="9">
        <f>Analysis!E39</f>
        <v>18.579999999999998</v>
      </c>
      <c r="E9" s="9">
        <f>Analysis!AJ39/Analysis!AG39</f>
        <v>0</v>
      </c>
      <c r="F9" s="43">
        <f t="shared" si="0"/>
        <v>8.2623711143619254E-3</v>
      </c>
      <c r="G9" s="43">
        <f>Analysis!AW39</f>
        <v>8.2623711143619254E-3</v>
      </c>
      <c r="H9" s="43">
        <f>Analysis!AW67</f>
        <v>9.2096358818166413E-3</v>
      </c>
      <c r="I9" s="43">
        <f>Analysis!AW95</f>
        <v>8.6660920104532774E-3</v>
      </c>
      <c r="J9" s="44">
        <f t="shared" si="1"/>
        <v>-5.9019040311520721E-2</v>
      </c>
      <c r="K9" s="44">
        <f>Analysis!Q95/Analysis!Q67-100%</f>
        <v>-0.19444444444444442</v>
      </c>
      <c r="L9" s="23">
        <f>Analysis!Q39</f>
        <v>49</v>
      </c>
      <c r="M9" s="23">
        <f>Analysis!Q39</f>
        <v>49</v>
      </c>
      <c r="N9" s="23">
        <f>Analysis!Q67</f>
        <v>72</v>
      </c>
      <c r="O9" s="23">
        <f>Analysis!Q95</f>
        <v>58</v>
      </c>
      <c r="P9" s="73">
        <f t="shared" si="5"/>
        <v>-0.19444444444444442</v>
      </c>
      <c r="S9" s="60"/>
      <c r="T9" s="61"/>
      <c r="U9" s="70" t="str">
        <f t="shared" si="2"/>
        <v>Unknown</v>
      </c>
      <c r="V9" s="70">
        <f t="shared" si="3"/>
        <v>121</v>
      </c>
      <c r="W9" s="70">
        <f t="shared" si="4"/>
        <v>121</v>
      </c>
      <c r="X9" s="70">
        <f t="shared" si="6"/>
        <v>109</v>
      </c>
      <c r="Y9" s="70">
        <f t="shared" si="7"/>
        <v>115</v>
      </c>
    </row>
    <row r="10" spans="1:25" x14ac:dyDescent="0.25">
      <c r="A10" s="18" t="str">
        <f>Analysis!B40</f>
        <v>Bypass</v>
      </c>
      <c r="B10" s="18" t="str">
        <f>Analysis!C40</f>
        <v>396639A</v>
      </c>
      <c r="C10" s="18" t="str">
        <f>Analysis!D40</f>
        <v>E “D” Street</v>
      </c>
      <c r="D10" s="9">
        <f>Analysis!E40</f>
        <v>2</v>
      </c>
      <c r="E10" s="9">
        <f>Analysis!AJ40/Analysis!AG40</f>
        <v>0</v>
      </c>
      <c r="F10" s="43">
        <f>Analysis!AW12</f>
        <v>2.2079052496505241E-2</v>
      </c>
      <c r="G10" s="43">
        <f>Analysis!AW40</f>
        <v>3.2695671163920081E-2</v>
      </c>
      <c r="H10" s="43">
        <f>Analysis!AW68</f>
        <v>3.7832786583184785E-2</v>
      </c>
      <c r="I10" s="43">
        <f>Analysis!AW96</f>
        <v>4.2269176179904E-2</v>
      </c>
      <c r="J10" s="44">
        <f t="shared" si="1"/>
        <v>0.11726309366519194</v>
      </c>
      <c r="K10" s="44">
        <f>Analysis!Q96/Analysis!Q68-100%</f>
        <v>0.875</v>
      </c>
      <c r="L10" s="23">
        <f>Analysis!Q12</f>
        <v>2</v>
      </c>
      <c r="M10" s="23">
        <f>Analysis!Q40</f>
        <v>12</v>
      </c>
      <c r="N10" s="23">
        <f>Analysis!Q68</f>
        <v>16</v>
      </c>
      <c r="O10" s="23">
        <f>Analysis!Q96</f>
        <v>30</v>
      </c>
      <c r="P10" s="73">
        <f t="shared" si="5"/>
        <v>0.875</v>
      </c>
      <c r="S10" s="60"/>
      <c r="T10" s="61"/>
      <c r="U10" s="70" t="str">
        <f t="shared" si="2"/>
        <v>Unknown</v>
      </c>
      <c r="V10" s="70">
        <f t="shared" si="3"/>
        <v>45</v>
      </c>
      <c r="W10" s="70">
        <f t="shared" si="4"/>
        <v>31</v>
      </c>
      <c r="X10" s="70">
        <f t="shared" si="6"/>
        <v>26</v>
      </c>
      <c r="Y10" s="70">
        <f t="shared" si="7"/>
        <v>24</v>
      </c>
    </row>
    <row r="11" spans="1:25" x14ac:dyDescent="0.25">
      <c r="A11" s="18" t="str">
        <f>Analysis!B41</f>
        <v>Bypass</v>
      </c>
      <c r="B11" s="18" t="str">
        <f>Analysis!C41</f>
        <v>396640U</v>
      </c>
      <c r="C11" s="18" t="str">
        <f>Analysis!D41</f>
        <v>E “C” Street</v>
      </c>
      <c r="D11" s="9">
        <f>Analysis!E41</f>
        <v>2.1</v>
      </c>
      <c r="E11" s="9">
        <f>Analysis!AJ41/Analysis!AG41</f>
        <v>0.2</v>
      </c>
      <c r="F11" s="43">
        <f>Analysis!AW13</f>
        <v>7.6833994154486246E-2</v>
      </c>
      <c r="G11" s="43">
        <f>Analysis!AW41</f>
        <v>7.812113666874973E-2</v>
      </c>
      <c r="H11" s="43">
        <f>Analysis!AW69</f>
        <v>7.9613009997880069E-2</v>
      </c>
      <c r="I11" s="43">
        <f>Analysis!AW97</f>
        <v>8.0418066933683488E-2</v>
      </c>
      <c r="J11" s="44">
        <f t="shared" si="1"/>
        <v>1.0112127852280217E-2</v>
      </c>
      <c r="K11" s="44">
        <f>Analysis!Q97/Analysis!Q69-100%</f>
        <v>0.875</v>
      </c>
      <c r="L11" s="23">
        <f>Analysis!Q13</f>
        <v>2</v>
      </c>
      <c r="M11" s="23">
        <f>Analysis!Q41</f>
        <v>12</v>
      </c>
      <c r="N11" s="23">
        <f>Analysis!Q69</f>
        <v>16</v>
      </c>
      <c r="O11" s="23">
        <f>Analysis!Q97</f>
        <v>30</v>
      </c>
      <c r="P11" s="73">
        <f t="shared" si="5"/>
        <v>0.875</v>
      </c>
      <c r="S11" s="60"/>
      <c r="T11" s="61"/>
      <c r="U11" s="70">
        <f t="shared" si="2"/>
        <v>5</v>
      </c>
      <c r="V11" s="70">
        <f t="shared" si="3"/>
        <v>13</v>
      </c>
      <c r="W11" s="70">
        <f t="shared" si="4"/>
        <v>13</v>
      </c>
      <c r="X11" s="70">
        <f t="shared" si="6"/>
        <v>13</v>
      </c>
      <c r="Y11" s="70">
        <f t="shared" si="7"/>
        <v>12</v>
      </c>
    </row>
    <row r="12" spans="1:25" x14ac:dyDescent="0.25">
      <c r="A12" s="18" t="str">
        <f>Analysis!B42</f>
        <v>Bypass</v>
      </c>
      <c r="B12" s="18" t="str">
        <f>Analysis!C42</f>
        <v>n/a NEW</v>
      </c>
      <c r="C12" s="18" t="str">
        <f>Analysis!D42</f>
        <v>S “C” Street</v>
      </c>
      <c r="D12" s="9">
        <f>Analysis!E42</f>
        <v>0</v>
      </c>
      <c r="E12" s="9">
        <f>Analysis!AJ42/Analysis!AG42</f>
        <v>0</v>
      </c>
      <c r="F12" s="43">
        <f>Analysis!AW14</f>
        <v>4.4330033867458137E-4</v>
      </c>
      <c r="G12" s="43">
        <f>Analysis!AW42</f>
        <v>1.7051722329428792E-2</v>
      </c>
      <c r="H12" s="43">
        <f>Analysis!AW70</f>
        <v>1.9453769738361965E-2</v>
      </c>
      <c r="I12" s="43">
        <f>Analysis!AW98</f>
        <v>2.29760130205632E-2</v>
      </c>
      <c r="J12" s="44">
        <f t="shared" si="1"/>
        <v>0.18105710767489591</v>
      </c>
      <c r="K12" s="44">
        <f>Analysis!Q98/Analysis!Q70-100%</f>
        <v>1</v>
      </c>
      <c r="L12" s="23">
        <f>Analysis!Q14</f>
        <v>0</v>
      </c>
      <c r="M12" s="23">
        <f>Analysis!Q42</f>
        <v>10</v>
      </c>
      <c r="N12" s="23">
        <f>Analysis!Q70</f>
        <v>14</v>
      </c>
      <c r="O12" s="23">
        <f>Analysis!Q98</f>
        <v>28</v>
      </c>
      <c r="P12" s="73">
        <f t="shared" si="5"/>
        <v>1</v>
      </c>
      <c r="S12" s="60"/>
      <c r="T12" s="61"/>
      <c r="U12" s="70" t="str">
        <f t="shared" si="2"/>
        <v>Unknown</v>
      </c>
      <c r="V12" s="70">
        <f t="shared" si="3"/>
        <v>2256</v>
      </c>
      <c r="W12" s="70">
        <f t="shared" si="4"/>
        <v>59</v>
      </c>
      <c r="X12" s="70">
        <f t="shared" si="6"/>
        <v>51</v>
      </c>
      <c r="Y12" s="70">
        <f t="shared" si="7"/>
        <v>44</v>
      </c>
    </row>
    <row r="13" spans="1:25" x14ac:dyDescent="0.25">
      <c r="A13" s="18" t="str">
        <f>Analysis!B43</f>
        <v>Bypass</v>
      </c>
      <c r="B13" s="18" t="str">
        <f>Analysis!C43</f>
        <v>085372C</v>
      </c>
      <c r="C13" s="18" t="str">
        <f>Analysis!D43</f>
        <v>S Chandler Street</v>
      </c>
      <c r="D13" s="9">
        <f>Analysis!E43</f>
        <v>2.96</v>
      </c>
      <c r="E13" s="9">
        <f>Analysis!AJ43/Analysis!AG43</f>
        <v>0</v>
      </c>
      <c r="F13" s="43">
        <f>Analysis!AW15</f>
        <v>1.0729630149582907E-2</v>
      </c>
      <c r="G13" s="43">
        <f>Analysis!AW43</f>
        <v>1.2473262902035832E-2</v>
      </c>
      <c r="H13" s="43">
        <f>Analysis!AW71</f>
        <v>1.3817513540643709E-2</v>
      </c>
      <c r="I13" s="43">
        <f>Analysis!AW99</f>
        <v>1.6279773400521551E-2</v>
      </c>
      <c r="J13" s="44">
        <f t="shared" si="1"/>
        <v>0.17819847634925012</v>
      </c>
      <c r="K13" s="44">
        <f>Analysis!Q99/Analysis!Q71-100%</f>
        <v>0.875</v>
      </c>
      <c r="L13" s="23">
        <f>Analysis!Q15</f>
        <v>2</v>
      </c>
      <c r="M13" s="23">
        <f>Analysis!Q43</f>
        <v>12</v>
      </c>
      <c r="N13" s="23">
        <f>Analysis!Q71</f>
        <v>16</v>
      </c>
      <c r="O13" s="23">
        <f>Analysis!Q99</f>
        <v>30</v>
      </c>
      <c r="P13" s="73">
        <f t="shared" si="5"/>
        <v>0.875</v>
      </c>
      <c r="S13" s="60"/>
      <c r="T13" s="61"/>
      <c r="U13" s="70" t="str">
        <f t="shared" si="2"/>
        <v>Unknown</v>
      </c>
      <c r="V13" s="70">
        <f t="shared" si="3"/>
        <v>93</v>
      </c>
      <c r="W13" s="70">
        <f t="shared" si="4"/>
        <v>80</v>
      </c>
      <c r="X13" s="70">
        <f t="shared" si="6"/>
        <v>72</v>
      </c>
      <c r="Y13" s="70">
        <f t="shared" si="7"/>
        <v>61</v>
      </c>
    </row>
    <row r="14" spans="1:25" x14ac:dyDescent="0.25">
      <c r="A14" s="18" t="str">
        <f>Analysis!B44</f>
        <v>Bypass</v>
      </c>
      <c r="B14" s="18" t="str">
        <f>Analysis!C44</f>
        <v>085373J</v>
      </c>
      <c r="C14" s="18" t="str">
        <f>Analysis!D44</f>
        <v>S Alaska Street</v>
      </c>
      <c r="D14" s="9">
        <f>Analysis!E44</f>
        <v>3.06</v>
      </c>
      <c r="E14" s="9">
        <f>Analysis!AJ44/Analysis!AG44</f>
        <v>0</v>
      </c>
      <c r="F14" s="43">
        <f>Analysis!AW16</f>
        <v>8.7410973056715555E-3</v>
      </c>
      <c r="G14" s="43">
        <f>Analysis!AW44</f>
        <v>9.9289156905533211E-3</v>
      </c>
      <c r="H14" s="43">
        <f>Analysis!AW72</f>
        <v>1.1429766066729817E-2</v>
      </c>
      <c r="I14" s="43">
        <f>Analysis!AW100</f>
        <v>1.3539916093963312E-2</v>
      </c>
      <c r="J14" s="44">
        <f t="shared" si="1"/>
        <v>0.18461882902186399</v>
      </c>
      <c r="K14" s="44">
        <f>Analysis!Q100/Analysis!Q72-100%</f>
        <v>0.875</v>
      </c>
      <c r="L14" s="23">
        <f>Analysis!Q16</f>
        <v>2</v>
      </c>
      <c r="M14" s="23">
        <f>Analysis!Q44</f>
        <v>12</v>
      </c>
      <c r="N14" s="23">
        <f>Analysis!Q72</f>
        <v>16</v>
      </c>
      <c r="O14" s="23">
        <f>Analysis!Q100</f>
        <v>30</v>
      </c>
      <c r="P14" s="73">
        <f t="shared" si="5"/>
        <v>0.875</v>
      </c>
      <c r="S14" s="60"/>
      <c r="T14" s="61"/>
      <c r="U14" s="70" t="str">
        <f t="shared" si="2"/>
        <v>Unknown</v>
      </c>
      <c r="V14" s="70">
        <f t="shared" si="3"/>
        <v>114</v>
      </c>
      <c r="W14" s="70">
        <f t="shared" si="4"/>
        <v>101</v>
      </c>
      <c r="X14" s="70">
        <f t="shared" si="6"/>
        <v>87</v>
      </c>
      <c r="Y14" s="70">
        <f t="shared" si="7"/>
        <v>74</v>
      </c>
    </row>
    <row r="15" spans="1:25" x14ac:dyDescent="0.25">
      <c r="A15" s="18" t="str">
        <f>Analysis!B45</f>
        <v>Bypass</v>
      </c>
      <c r="B15" s="18" t="str">
        <f>Analysis!C45</f>
        <v>085374R</v>
      </c>
      <c r="C15" s="18" t="str">
        <f>Analysis!D45</f>
        <v>S Wilkeson Street</v>
      </c>
      <c r="D15" s="9">
        <f>Analysis!E45</f>
        <v>3.12</v>
      </c>
      <c r="E15" s="9">
        <f>Analysis!AJ45/Analysis!AG45</f>
        <v>0</v>
      </c>
      <c r="F15" s="43">
        <f>Analysis!AW17</f>
        <v>1.9148293022337892E-2</v>
      </c>
      <c r="G15" s="43">
        <f>Analysis!AW45</f>
        <v>2.4106725832570262E-2</v>
      </c>
      <c r="H15" s="43">
        <f>Analysis!AW73</f>
        <v>2.6902510603889578E-2</v>
      </c>
      <c r="I15" s="43">
        <f>Analysis!AW101</f>
        <v>3.0781802774877423E-2</v>
      </c>
      <c r="J15" s="44">
        <f t="shared" si="1"/>
        <v>0.14419814671226172</v>
      </c>
      <c r="K15" s="44">
        <f>Analysis!Q101/Analysis!Q73-100%</f>
        <v>0.875</v>
      </c>
      <c r="L15" s="23">
        <f>Analysis!Q17</f>
        <v>2</v>
      </c>
      <c r="M15" s="23">
        <f>Analysis!Q45</f>
        <v>12</v>
      </c>
      <c r="N15" s="23">
        <f>Analysis!Q73</f>
        <v>16</v>
      </c>
      <c r="O15" s="23">
        <f>Analysis!Q101</f>
        <v>30</v>
      </c>
      <c r="P15" s="73">
        <f t="shared" si="5"/>
        <v>0.875</v>
      </c>
      <c r="S15" s="60"/>
      <c r="T15" s="61"/>
      <c r="U15" s="70" t="str">
        <f t="shared" si="2"/>
        <v>Unknown</v>
      </c>
      <c r="V15" s="70">
        <f t="shared" si="3"/>
        <v>52</v>
      </c>
      <c r="W15" s="70">
        <f t="shared" si="4"/>
        <v>41</v>
      </c>
      <c r="X15" s="70">
        <f t="shared" si="6"/>
        <v>37</v>
      </c>
      <c r="Y15" s="70">
        <f t="shared" si="7"/>
        <v>32</v>
      </c>
    </row>
    <row r="16" spans="1:25" x14ac:dyDescent="0.25">
      <c r="A16" s="18" t="str">
        <f>Analysis!B46</f>
        <v>Bypass</v>
      </c>
      <c r="B16" s="18" t="str">
        <f>Analysis!C46</f>
        <v>085382H</v>
      </c>
      <c r="C16" s="18" t="str">
        <f>Analysis!D46</f>
        <v>S Pine Street</v>
      </c>
      <c r="D16" s="9">
        <f>Analysis!E46</f>
        <v>3.79</v>
      </c>
      <c r="E16" s="9">
        <f>Analysis!AJ46/Analysis!AG46</f>
        <v>0</v>
      </c>
      <c r="F16" s="43">
        <f>Analysis!AW18</f>
        <v>2.629102920426105E-2</v>
      </c>
      <c r="G16" s="43">
        <f>Analysis!AW46</f>
        <v>3.7879822188025637E-2</v>
      </c>
      <c r="H16" s="43">
        <f>Analysis!AW74</f>
        <v>4.0440375447579197E-2</v>
      </c>
      <c r="I16" s="43">
        <f>Analysis!AW102</f>
        <v>4.4930215356846208E-2</v>
      </c>
      <c r="J16" s="44">
        <f t="shared" si="1"/>
        <v>0.11102369499726739</v>
      </c>
      <c r="K16" s="44">
        <f>Analysis!Q102/Analysis!Q74-100%</f>
        <v>0.875</v>
      </c>
      <c r="L16" s="23">
        <f>Analysis!Q18</f>
        <v>2</v>
      </c>
      <c r="M16" s="23">
        <f>Analysis!Q46</f>
        <v>12</v>
      </c>
      <c r="N16" s="23">
        <f>Analysis!Q74</f>
        <v>16</v>
      </c>
      <c r="O16" s="23">
        <f>Analysis!Q102</f>
        <v>30</v>
      </c>
      <c r="P16" s="73">
        <f t="shared" si="5"/>
        <v>0.875</v>
      </c>
      <c r="S16" s="60"/>
      <c r="T16" s="61"/>
      <c r="U16" s="70" t="str">
        <f t="shared" si="2"/>
        <v>Unknown</v>
      </c>
      <c r="V16" s="70">
        <f t="shared" si="3"/>
        <v>38</v>
      </c>
      <c r="W16" s="70">
        <f t="shared" si="4"/>
        <v>26</v>
      </c>
      <c r="X16" s="70">
        <f t="shared" si="6"/>
        <v>25</v>
      </c>
      <c r="Y16" s="70">
        <f t="shared" si="7"/>
        <v>22</v>
      </c>
    </row>
    <row r="17" spans="1:25" x14ac:dyDescent="0.25">
      <c r="A17" s="18" t="str">
        <f>Analysis!B47</f>
        <v>Bypass</v>
      </c>
      <c r="B17" s="18" t="str">
        <f>Analysis!C47</f>
        <v>085385D</v>
      </c>
      <c r="C17" s="18" t="str">
        <f>Analysis!D47</f>
        <v>S 35th Street</v>
      </c>
      <c r="D17" s="9">
        <f>Analysis!E47</f>
        <v>4.1500000000000004</v>
      </c>
      <c r="E17" s="9">
        <f>Analysis!AJ47/Analysis!AG47</f>
        <v>0</v>
      </c>
      <c r="F17" s="43">
        <f>Analysis!AW19</f>
        <v>1.7430191880229984E-2</v>
      </c>
      <c r="G17" s="43">
        <f>Analysis!AW47</f>
        <v>2.6693030802490685E-2</v>
      </c>
      <c r="H17" s="43">
        <f>Analysis!AW75</f>
        <v>2.8666193847386022E-2</v>
      </c>
      <c r="I17" s="43">
        <f>Analysis!AW103</f>
        <v>3.2672703224959118E-2</v>
      </c>
      <c r="J17" s="44">
        <f t="shared" si="1"/>
        <v>0.13976426026081712</v>
      </c>
      <c r="K17" s="44">
        <f>Analysis!Q103/Analysis!Q75-100%</f>
        <v>0.875</v>
      </c>
      <c r="L17" s="23">
        <f>Analysis!Q19</f>
        <v>2</v>
      </c>
      <c r="M17" s="23">
        <f>Analysis!Q47</f>
        <v>12</v>
      </c>
      <c r="N17" s="23">
        <f>Analysis!Q75</f>
        <v>16</v>
      </c>
      <c r="O17" s="23">
        <f>Analysis!Q103</f>
        <v>30</v>
      </c>
      <c r="P17" s="73">
        <f t="shared" si="5"/>
        <v>0.875</v>
      </c>
      <c r="S17" s="60"/>
      <c r="T17" s="61"/>
      <c r="U17" s="70" t="str">
        <f t="shared" si="2"/>
        <v>Unknown</v>
      </c>
      <c r="V17" s="70">
        <f t="shared" si="3"/>
        <v>57</v>
      </c>
      <c r="W17" s="70">
        <f t="shared" si="4"/>
        <v>37</v>
      </c>
      <c r="X17" s="70">
        <f t="shared" si="6"/>
        <v>35</v>
      </c>
      <c r="Y17" s="70">
        <f t="shared" si="7"/>
        <v>31</v>
      </c>
    </row>
    <row r="18" spans="1:25" x14ac:dyDescent="0.25">
      <c r="A18" s="18" t="str">
        <f>Analysis!B48</f>
        <v>Bypass</v>
      </c>
      <c r="B18" s="18" t="str">
        <f>Analysis!C48</f>
        <v>085391G</v>
      </c>
      <c r="C18" s="18" t="str">
        <f>Analysis!D48</f>
        <v>S 50th Street</v>
      </c>
      <c r="D18" s="9">
        <f>Analysis!E48</f>
        <v>5.47</v>
      </c>
      <c r="E18" s="9">
        <f>Analysis!AJ48/Analysis!AG48</f>
        <v>0</v>
      </c>
      <c r="F18" s="43">
        <f>Analysis!AW20</f>
        <v>1.2957911476059182E-2</v>
      </c>
      <c r="G18" s="43">
        <f>Analysis!AW48</f>
        <v>1.8479604323460262E-2</v>
      </c>
      <c r="H18" s="43">
        <f>Analysis!AW76</f>
        <v>2.0216073629961806E-2</v>
      </c>
      <c r="I18" s="43">
        <f>Analysis!AW104</f>
        <v>2.3477401844215495E-2</v>
      </c>
      <c r="J18" s="44">
        <f t="shared" si="1"/>
        <v>0.16132352275469275</v>
      </c>
      <c r="K18" s="44">
        <f>Analysis!Q104/Analysis!Q76-100%</f>
        <v>0.875</v>
      </c>
      <c r="L18" s="23">
        <f>Analysis!Q20</f>
        <v>2</v>
      </c>
      <c r="M18" s="23">
        <f>Analysis!Q48</f>
        <v>12</v>
      </c>
      <c r="N18" s="23">
        <f>Analysis!Q76</f>
        <v>16</v>
      </c>
      <c r="O18" s="23">
        <f>Analysis!Q104</f>
        <v>30</v>
      </c>
      <c r="P18" s="73">
        <f t="shared" si="5"/>
        <v>0.875</v>
      </c>
      <c r="S18" s="60"/>
      <c r="T18" s="61"/>
      <c r="U18" s="70" t="str">
        <f t="shared" si="2"/>
        <v>Unknown</v>
      </c>
      <c r="V18" s="70">
        <f t="shared" si="3"/>
        <v>77</v>
      </c>
      <c r="W18" s="70">
        <f t="shared" si="4"/>
        <v>54</v>
      </c>
      <c r="X18" s="70">
        <f t="shared" si="6"/>
        <v>49</v>
      </c>
      <c r="Y18" s="70">
        <f t="shared" si="7"/>
        <v>43</v>
      </c>
    </row>
    <row r="19" spans="1:25" x14ac:dyDescent="0.25">
      <c r="A19" s="18" t="str">
        <f>Analysis!B49</f>
        <v>Bypass</v>
      </c>
      <c r="B19" s="18" t="str">
        <f>Analysis!C49</f>
        <v>085392N</v>
      </c>
      <c r="C19" s="18" t="str">
        <f>Analysis!D49</f>
        <v>S 56th Street</v>
      </c>
      <c r="D19" s="9">
        <f>Analysis!E49</f>
        <v>5.81</v>
      </c>
      <c r="E19" s="9">
        <f>Analysis!AJ49/Analysis!AG49</f>
        <v>0</v>
      </c>
      <c r="F19" s="43">
        <f>Analysis!AW21</f>
        <v>2.8489262640067705E-2</v>
      </c>
      <c r="G19" s="43">
        <f>Analysis!AW49</f>
        <v>4.323624955841996E-2</v>
      </c>
      <c r="H19" s="43">
        <f>Analysis!AW77</f>
        <v>4.6729869271291385E-2</v>
      </c>
      <c r="I19" s="43">
        <f>Analysis!AW105</f>
        <v>5.1227948946041518E-2</v>
      </c>
      <c r="J19" s="44">
        <f t="shared" si="1"/>
        <v>9.6257056672605312E-2</v>
      </c>
      <c r="K19" s="44">
        <f>Analysis!Q105/Analysis!Q77-100%</f>
        <v>0.875</v>
      </c>
      <c r="L19" s="23">
        <f>Analysis!Q21</f>
        <v>2</v>
      </c>
      <c r="M19" s="23">
        <f>Analysis!Q49</f>
        <v>12</v>
      </c>
      <c r="N19" s="23">
        <f>Analysis!Q77</f>
        <v>16</v>
      </c>
      <c r="O19" s="23">
        <f>Analysis!Q105</f>
        <v>30</v>
      </c>
      <c r="P19" s="73">
        <f t="shared" si="5"/>
        <v>0.875</v>
      </c>
      <c r="S19" s="60"/>
      <c r="T19" s="61"/>
      <c r="U19" s="70" t="str">
        <f t="shared" si="2"/>
        <v>Unknown</v>
      </c>
      <c r="V19" s="70">
        <f t="shared" si="3"/>
        <v>35</v>
      </c>
      <c r="W19" s="70">
        <f t="shared" si="4"/>
        <v>23</v>
      </c>
      <c r="X19" s="70">
        <f t="shared" si="6"/>
        <v>21</v>
      </c>
      <c r="Y19" s="70">
        <f t="shared" si="7"/>
        <v>20</v>
      </c>
    </row>
    <row r="20" spans="1:25" x14ac:dyDescent="0.25">
      <c r="A20" s="18" t="str">
        <f>Analysis!B50</f>
        <v>Bypass</v>
      </c>
      <c r="B20" s="18" t="str">
        <f>Analysis!C50</f>
        <v>085394C</v>
      </c>
      <c r="C20" s="18" t="str">
        <f>Analysis!D50</f>
        <v>S 60th Street</v>
      </c>
      <c r="D20" s="9">
        <f>Analysis!E50</f>
        <v>6.04</v>
      </c>
      <c r="E20" s="9">
        <f>Analysis!AJ50/Analysis!AG50</f>
        <v>0</v>
      </c>
      <c r="F20" s="43">
        <f>Analysis!AW22</f>
        <v>1.1533829144552235E-2</v>
      </c>
      <c r="G20" s="43">
        <f>Analysis!AW50</f>
        <v>1.4159307511415522E-2</v>
      </c>
      <c r="H20" s="43">
        <f>Analysis!AW78</f>
        <v>1.6337796837311284E-2</v>
      </c>
      <c r="I20" s="43">
        <f>Analysis!AW106</f>
        <v>1.9139640123299703E-2</v>
      </c>
      <c r="J20" s="44">
        <f t="shared" si="1"/>
        <v>0.17149456036751154</v>
      </c>
      <c r="K20" s="44">
        <f>Analysis!Q106/Analysis!Q78-100%</f>
        <v>0.875</v>
      </c>
      <c r="L20" s="23">
        <f>Analysis!Q22</f>
        <v>2</v>
      </c>
      <c r="M20" s="23">
        <f>Analysis!Q50</f>
        <v>12</v>
      </c>
      <c r="N20" s="23">
        <f>Analysis!Q78</f>
        <v>16</v>
      </c>
      <c r="O20" s="23">
        <f>Analysis!Q106</f>
        <v>30</v>
      </c>
      <c r="P20" s="73">
        <f t="shared" si="5"/>
        <v>0.875</v>
      </c>
      <c r="S20" s="60"/>
      <c r="T20" s="61"/>
      <c r="U20" s="70" t="str">
        <f t="shared" si="2"/>
        <v>Unknown</v>
      </c>
      <c r="V20" s="70">
        <f t="shared" si="3"/>
        <v>87</v>
      </c>
      <c r="W20" s="70">
        <f t="shared" si="4"/>
        <v>71</v>
      </c>
      <c r="X20" s="70">
        <f t="shared" si="6"/>
        <v>61</v>
      </c>
      <c r="Y20" s="70">
        <f t="shared" si="7"/>
        <v>52</v>
      </c>
    </row>
    <row r="21" spans="1:25" x14ac:dyDescent="0.25">
      <c r="A21" s="18" t="str">
        <f>Analysis!B51</f>
        <v>Bypass</v>
      </c>
      <c r="B21" s="18" t="str">
        <f>Analysis!C51</f>
        <v>085396R</v>
      </c>
      <c r="C21" s="18" t="str">
        <f>Analysis!D51</f>
        <v>S 74th Street</v>
      </c>
      <c r="D21" s="9">
        <f>Analysis!E51</f>
        <v>6.9</v>
      </c>
      <c r="E21" s="9">
        <f>Analysis!AJ51/Analysis!AG51</f>
        <v>0</v>
      </c>
      <c r="F21" s="43">
        <f>Analysis!AW23</f>
        <v>2.9078721927168167E-2</v>
      </c>
      <c r="G21" s="43">
        <f>Analysis!AW51</f>
        <v>3.6665442926945298E-2</v>
      </c>
      <c r="H21" s="43">
        <f>Analysis!AW79</f>
        <v>4.0289860038883928E-2</v>
      </c>
      <c r="I21" s="43">
        <f>Analysis!AW107</f>
        <v>5.1471096019050602E-2</v>
      </c>
      <c r="J21" s="44">
        <f t="shared" si="1"/>
        <v>0.27751985162955672</v>
      </c>
      <c r="K21" s="44">
        <f>Analysis!Q107/Analysis!Q79-100%</f>
        <v>0.875</v>
      </c>
      <c r="L21" s="23">
        <f>Analysis!Q23</f>
        <v>2</v>
      </c>
      <c r="M21" s="23">
        <f>Analysis!Q51</f>
        <v>12</v>
      </c>
      <c r="N21" s="23">
        <f>Analysis!Q79</f>
        <v>16</v>
      </c>
      <c r="O21" s="23">
        <f>Analysis!Q107</f>
        <v>30</v>
      </c>
      <c r="P21" s="73">
        <f t="shared" si="5"/>
        <v>0.875</v>
      </c>
      <c r="S21" s="60"/>
      <c r="T21" s="61"/>
      <c r="U21" s="70" t="str">
        <f t="shared" si="2"/>
        <v>Unknown</v>
      </c>
      <c r="V21" s="70">
        <f t="shared" si="3"/>
        <v>34</v>
      </c>
      <c r="W21" s="70">
        <f t="shared" si="4"/>
        <v>27</v>
      </c>
      <c r="X21" s="70">
        <f t="shared" si="6"/>
        <v>25</v>
      </c>
      <c r="Y21" s="70">
        <f t="shared" si="7"/>
        <v>19</v>
      </c>
    </row>
    <row r="22" spans="1:25" x14ac:dyDescent="0.25">
      <c r="A22" s="18" t="str">
        <f>Analysis!B52</f>
        <v>Bypass</v>
      </c>
      <c r="B22" s="18" t="str">
        <f>Analysis!C52</f>
        <v>085400D</v>
      </c>
      <c r="C22" s="18" t="str">
        <f>Analysis!D52</f>
        <v>Steilacoom Blvd SW</v>
      </c>
      <c r="D22" s="9">
        <f>Analysis!E52</f>
        <v>7.89</v>
      </c>
      <c r="E22" s="9">
        <f>Analysis!AJ52/Analysis!AG52</f>
        <v>0</v>
      </c>
      <c r="F22" s="43">
        <f>Analysis!AW24</f>
        <v>2.4269135464424177E-2</v>
      </c>
      <c r="G22" s="43">
        <f>Analysis!AW52</f>
        <v>3.5445415300045378E-2</v>
      </c>
      <c r="H22" s="43">
        <f>Analysis!AW80</f>
        <v>3.8084045897884E-2</v>
      </c>
      <c r="I22" s="43">
        <f>Analysis!AW108</f>
        <v>4.9232815836475888E-2</v>
      </c>
      <c r="J22" s="44">
        <f t="shared" si="1"/>
        <v>0.29274121684669341</v>
      </c>
      <c r="K22" s="44">
        <f>Analysis!Q108/Analysis!Q80-100%</f>
        <v>0.875</v>
      </c>
      <c r="L22" s="23">
        <f>Analysis!Q24</f>
        <v>2</v>
      </c>
      <c r="M22" s="23">
        <f>Analysis!Q52</f>
        <v>12</v>
      </c>
      <c r="N22" s="23">
        <f>Analysis!Q80</f>
        <v>16</v>
      </c>
      <c r="O22" s="23">
        <f>Analysis!Q108</f>
        <v>30</v>
      </c>
      <c r="P22" s="73">
        <f t="shared" si="5"/>
        <v>0.875</v>
      </c>
      <c r="S22" s="60"/>
      <c r="T22" s="61"/>
      <c r="U22" s="70" t="str">
        <f t="shared" si="2"/>
        <v>Unknown</v>
      </c>
      <c r="V22" s="70">
        <f t="shared" si="3"/>
        <v>41</v>
      </c>
      <c r="W22" s="70">
        <f t="shared" si="4"/>
        <v>28</v>
      </c>
      <c r="X22" s="70">
        <f t="shared" si="6"/>
        <v>26</v>
      </c>
      <c r="Y22" s="70">
        <f t="shared" si="7"/>
        <v>20</v>
      </c>
    </row>
    <row r="23" spans="1:25" x14ac:dyDescent="0.25">
      <c r="A23" s="18" t="str">
        <f>Analysis!B53</f>
        <v>Bypass</v>
      </c>
      <c r="B23" s="18" t="str">
        <f>Analysis!C53</f>
        <v>085402S</v>
      </c>
      <c r="C23" s="18" t="str">
        <f>Analysis!D53</f>
        <v>100th Street SW</v>
      </c>
      <c r="D23" s="9">
        <f>Analysis!E53</f>
        <v>8.59</v>
      </c>
      <c r="E23" s="9">
        <f>Analysis!AJ53/Analysis!AG53</f>
        <v>0.2</v>
      </c>
      <c r="F23" s="43">
        <f>Analysis!AW25</f>
        <v>5.2798323916424604E-2</v>
      </c>
      <c r="G23" s="43">
        <f>Analysis!AW53</f>
        <v>8.2493743015018037E-2</v>
      </c>
      <c r="H23" s="43">
        <f>Analysis!AW81</f>
        <v>8.3036251373845293E-2</v>
      </c>
      <c r="I23" s="43">
        <f>Analysis!AW109</f>
        <v>8.4904960604277019E-2</v>
      </c>
      <c r="J23" s="44">
        <f t="shared" si="1"/>
        <v>2.2504739791521011E-2</v>
      </c>
      <c r="K23" s="44">
        <f>Analysis!Q109/Analysis!Q81-100%</f>
        <v>0.46666666666666656</v>
      </c>
      <c r="L23" s="23">
        <f>Analysis!Q25</f>
        <v>2</v>
      </c>
      <c r="M23" s="23">
        <f>Analysis!Q53</f>
        <v>22</v>
      </c>
      <c r="N23" s="23">
        <f>Analysis!Q81</f>
        <v>30</v>
      </c>
      <c r="O23" s="23">
        <f>Analysis!Q109</f>
        <v>44</v>
      </c>
      <c r="P23" s="73">
        <f t="shared" si="5"/>
        <v>0.46666666666666656</v>
      </c>
      <c r="S23" s="60"/>
      <c r="T23" s="61"/>
      <c r="U23" s="70">
        <f t="shared" si="2"/>
        <v>5</v>
      </c>
      <c r="V23" s="70">
        <f t="shared" si="3"/>
        <v>19</v>
      </c>
      <c r="W23" s="70">
        <f t="shared" si="4"/>
        <v>12</v>
      </c>
      <c r="X23" s="70">
        <f t="shared" si="6"/>
        <v>12</v>
      </c>
      <c r="Y23" s="70">
        <f t="shared" si="7"/>
        <v>12</v>
      </c>
    </row>
    <row r="24" spans="1:25" x14ac:dyDescent="0.25">
      <c r="A24" s="18" t="str">
        <f>Analysis!B54</f>
        <v>Bypass</v>
      </c>
      <c r="B24" s="18" t="str">
        <f>Analysis!C54</f>
        <v>085404F</v>
      </c>
      <c r="C24" s="18" t="str">
        <f>Analysis!D54</f>
        <v>108th Street SW</v>
      </c>
      <c r="D24" s="9">
        <f>Analysis!E54</f>
        <v>9.09</v>
      </c>
      <c r="E24" s="9">
        <f>Analysis!AJ54/Analysis!AG54</f>
        <v>0</v>
      </c>
      <c r="F24" s="43">
        <f>Analysis!AW26</f>
        <v>1.8697213854576577E-2</v>
      </c>
      <c r="G24" s="43">
        <f>Analysis!AW54</f>
        <v>3.2217947063550009E-2</v>
      </c>
      <c r="H24" s="43">
        <f>Analysis!AW82</f>
        <v>3.497635873214136E-2</v>
      </c>
      <c r="I24" s="43">
        <f>Analysis!AW110</f>
        <v>4.422280033844686E-2</v>
      </c>
      <c r="J24" s="44">
        <f t="shared" si="1"/>
        <v>0.26436261353325285</v>
      </c>
      <c r="K24" s="44">
        <f>Analysis!Q110/Analysis!Q82-100%</f>
        <v>0.46666666666666656</v>
      </c>
      <c r="L24" s="23">
        <f>Analysis!Q26</f>
        <v>2</v>
      </c>
      <c r="M24" s="23">
        <f>Analysis!Q54</f>
        <v>22</v>
      </c>
      <c r="N24" s="23">
        <f>Analysis!Q82</f>
        <v>30</v>
      </c>
      <c r="O24" s="23">
        <f>Analysis!Q110</f>
        <v>44</v>
      </c>
      <c r="P24" s="73">
        <f t="shared" si="5"/>
        <v>0.46666666666666656</v>
      </c>
      <c r="S24" s="60"/>
      <c r="T24" s="61"/>
      <c r="U24" s="70" t="str">
        <f t="shared" si="2"/>
        <v>Unknown</v>
      </c>
      <c r="V24" s="70">
        <f t="shared" si="3"/>
        <v>53</v>
      </c>
      <c r="W24" s="70">
        <f t="shared" si="4"/>
        <v>31</v>
      </c>
      <c r="X24" s="70">
        <f t="shared" si="6"/>
        <v>29</v>
      </c>
      <c r="Y24" s="70">
        <f t="shared" si="7"/>
        <v>23</v>
      </c>
    </row>
    <row r="25" spans="1:25" x14ac:dyDescent="0.25">
      <c r="A25" s="18" t="str">
        <f>Analysis!B55</f>
        <v>Bypass</v>
      </c>
      <c r="B25" s="18" t="str">
        <f>Analysis!C55</f>
        <v>085821P</v>
      </c>
      <c r="C25" s="18" t="str">
        <f>Analysis!D55</f>
        <v>Bridgeport Way SW</v>
      </c>
      <c r="D25" s="9">
        <f>Analysis!E55</f>
        <v>10.8</v>
      </c>
      <c r="E25" s="9">
        <f>Analysis!AJ55/Analysis!AG55</f>
        <v>0</v>
      </c>
      <c r="F25" s="43">
        <f>Analysis!AW27</f>
        <v>2.754069682150689E-2</v>
      </c>
      <c r="G25" s="43">
        <f>Analysis!AW55</f>
        <v>2.754069682150689E-2</v>
      </c>
      <c r="H25" s="43">
        <f>Analysis!AW83</f>
        <v>2.8288707841423587E-2</v>
      </c>
      <c r="I25" s="43">
        <f>Analysis!AW111</f>
        <v>4.4965819577269674E-2</v>
      </c>
      <c r="J25" s="44">
        <f t="shared" si="1"/>
        <v>0.58953246748957322</v>
      </c>
      <c r="K25" s="44">
        <f>Analysis!Q111/Analysis!Q83-100%</f>
        <v>7</v>
      </c>
      <c r="L25" s="23">
        <f>Analysis!Q27</f>
        <v>2</v>
      </c>
      <c r="M25" s="23">
        <f>Analysis!Q55</f>
        <v>2</v>
      </c>
      <c r="N25" s="23">
        <f>Analysis!Q83</f>
        <v>2</v>
      </c>
      <c r="O25" s="23">
        <f>Analysis!Q111</f>
        <v>16</v>
      </c>
      <c r="P25" s="73">
        <f t="shared" si="5"/>
        <v>7</v>
      </c>
      <c r="S25" s="60"/>
      <c r="T25" s="61"/>
      <c r="U25" s="70" t="str">
        <f t="shared" si="2"/>
        <v>Unknown</v>
      </c>
      <c r="V25" s="70">
        <f t="shared" si="3"/>
        <v>36</v>
      </c>
      <c r="W25" s="70">
        <f t="shared" si="4"/>
        <v>36</v>
      </c>
      <c r="X25" s="70">
        <f t="shared" si="6"/>
        <v>35</v>
      </c>
      <c r="Y25" s="70">
        <f t="shared" si="7"/>
        <v>22</v>
      </c>
    </row>
    <row r="26" spans="1:25" x14ac:dyDescent="0.25">
      <c r="A26" s="18" t="str">
        <f>Analysis!B56</f>
        <v>Bypass</v>
      </c>
      <c r="B26" s="18" t="str">
        <f>Analysis!C56</f>
        <v>085822W</v>
      </c>
      <c r="C26" s="18" t="str">
        <f>Analysis!D56</f>
        <v>Clover Creek Dr SW</v>
      </c>
      <c r="D26" s="9">
        <f>Analysis!E56</f>
        <v>1.1599999999999999</v>
      </c>
      <c r="E26" s="9">
        <f>Analysis!AJ56/Analysis!AG56</f>
        <v>0</v>
      </c>
      <c r="F26" s="43">
        <f>Analysis!AW28</f>
        <v>1.4701217043997373E-2</v>
      </c>
      <c r="G26" s="43">
        <f>Analysis!AW56</f>
        <v>1.4701217043997373E-2</v>
      </c>
      <c r="H26" s="43">
        <f>Analysis!AW84</f>
        <v>1.6045079920013257E-2</v>
      </c>
      <c r="I26" s="43">
        <f>Analysis!AW112</f>
        <v>1.9006697891519483E-2</v>
      </c>
      <c r="J26" s="44">
        <f t="shared" si="1"/>
        <v>0.18458106698565935</v>
      </c>
      <c r="K26" s="44">
        <f>Analysis!Q112/Analysis!Q84-100%</f>
        <v>7</v>
      </c>
      <c r="L26" s="23">
        <f>Analysis!Q28</f>
        <v>2</v>
      </c>
      <c r="M26" s="23">
        <f>Analysis!Q56</f>
        <v>2</v>
      </c>
      <c r="N26" s="23">
        <f>Analysis!Q84</f>
        <v>2</v>
      </c>
      <c r="O26" s="23">
        <f>Analysis!Q112</f>
        <v>16</v>
      </c>
      <c r="P26" s="73">
        <f t="shared" si="5"/>
        <v>7</v>
      </c>
      <c r="S26" s="60"/>
      <c r="T26" s="61"/>
      <c r="U26" s="70" t="str">
        <f t="shared" si="2"/>
        <v>Unknown</v>
      </c>
      <c r="V26" s="70">
        <f t="shared" si="3"/>
        <v>68</v>
      </c>
      <c r="W26" s="70">
        <f t="shared" si="4"/>
        <v>68</v>
      </c>
      <c r="X26" s="70">
        <f t="shared" si="6"/>
        <v>62</v>
      </c>
      <c r="Y26" s="70">
        <f t="shared" si="7"/>
        <v>53</v>
      </c>
    </row>
    <row r="27" spans="1:25" x14ac:dyDescent="0.25">
      <c r="A27" s="18" t="str">
        <f>Analysis!B57</f>
        <v>Bypass</v>
      </c>
      <c r="B27" s="18" t="str">
        <f>Analysis!C57</f>
        <v>085828M</v>
      </c>
      <c r="C27" s="18" t="str">
        <f>Analysis!D57</f>
        <v>N Thorne Lane SW</v>
      </c>
      <c r="D27" s="9">
        <f>Analysis!E57</f>
        <v>3.05</v>
      </c>
      <c r="E27" s="9">
        <f>Analysis!AJ57/Analysis!AG57</f>
        <v>0.2</v>
      </c>
      <c r="F27" s="43">
        <f>Analysis!AW29</f>
        <v>5.1141300040915071E-2</v>
      </c>
      <c r="G27" s="43">
        <f>Analysis!AW57</f>
        <v>5.1141300040915071E-2</v>
      </c>
      <c r="H27" s="43">
        <f>Analysis!AW85</f>
        <v>5.1337251296020514E-2</v>
      </c>
      <c r="I27" s="43">
        <f>Analysis!AW113</f>
        <v>8.0067889189566296E-2</v>
      </c>
      <c r="J27" s="44">
        <f t="shared" si="1"/>
        <v>0.55964503685402578</v>
      </c>
      <c r="K27" s="44">
        <f>Analysis!Q113/Analysis!Q85-100%</f>
        <v>7</v>
      </c>
      <c r="L27" s="23">
        <f>Analysis!Q29</f>
        <v>2</v>
      </c>
      <c r="M27" s="23">
        <f>Analysis!Q57</f>
        <v>2</v>
      </c>
      <c r="N27" s="23">
        <f>Analysis!Q85</f>
        <v>2</v>
      </c>
      <c r="O27" s="23">
        <f>Analysis!Q113</f>
        <v>16</v>
      </c>
      <c r="P27" s="73">
        <f t="shared" si="5"/>
        <v>7</v>
      </c>
      <c r="S27" s="60"/>
      <c r="T27" s="61"/>
      <c r="U27" s="70">
        <f t="shared" si="2"/>
        <v>5</v>
      </c>
      <c r="V27" s="70">
        <f t="shared" si="3"/>
        <v>20</v>
      </c>
      <c r="W27" s="70">
        <f t="shared" si="4"/>
        <v>20</v>
      </c>
      <c r="X27" s="70">
        <f t="shared" si="6"/>
        <v>19</v>
      </c>
      <c r="Y27" s="70">
        <f t="shared" si="7"/>
        <v>12</v>
      </c>
    </row>
    <row r="28" spans="1:25" x14ac:dyDescent="0.25">
      <c r="A28" s="18" t="str">
        <f>Analysis!B58</f>
        <v>Bypass</v>
      </c>
      <c r="B28" s="18" t="str">
        <f>Analysis!C58</f>
        <v>085829U</v>
      </c>
      <c r="C28" s="18" t="str">
        <f>Analysis!D58</f>
        <v>Berkeley Street SW</v>
      </c>
      <c r="D28" s="9">
        <f>Analysis!E58</f>
        <v>3.95</v>
      </c>
      <c r="E28" s="9">
        <f>Analysis!AJ58/Analysis!AG58</f>
        <v>0</v>
      </c>
      <c r="F28" s="43">
        <f>Analysis!AW30</f>
        <v>2.2280436319314499E-2</v>
      </c>
      <c r="G28" s="43">
        <f>Analysis!AW58</f>
        <v>2.2280436319314499E-2</v>
      </c>
      <c r="H28" s="43">
        <f>Analysis!AW86</f>
        <v>2.2779633355297372E-2</v>
      </c>
      <c r="I28" s="43">
        <f>Analysis!AW114</f>
        <v>3.0493899746561373E-2</v>
      </c>
      <c r="J28" s="44">
        <f t="shared" si="1"/>
        <v>0.3386475221503098</v>
      </c>
      <c r="K28" s="44">
        <f>Analysis!Q114/Analysis!Q86-100%</f>
        <v>7</v>
      </c>
      <c r="L28" s="23">
        <f>Analysis!Q30</f>
        <v>2</v>
      </c>
      <c r="M28" s="23">
        <f>Analysis!Q58</f>
        <v>2</v>
      </c>
      <c r="N28" s="23">
        <f>Analysis!Q86</f>
        <v>2</v>
      </c>
      <c r="O28" s="23">
        <f>Analysis!Q114</f>
        <v>16</v>
      </c>
      <c r="P28" s="73">
        <f t="shared" si="5"/>
        <v>7</v>
      </c>
      <c r="S28" s="60"/>
      <c r="T28" s="61"/>
      <c r="U28" s="70" t="str">
        <f t="shared" si="2"/>
        <v>Unknown</v>
      </c>
      <c r="V28" s="70">
        <f t="shared" si="3"/>
        <v>45</v>
      </c>
      <c r="W28" s="70">
        <f t="shared" si="4"/>
        <v>45</v>
      </c>
      <c r="X28" s="70">
        <f t="shared" si="6"/>
        <v>44</v>
      </c>
      <c r="Y28" s="70">
        <f t="shared" si="7"/>
        <v>33</v>
      </c>
    </row>
    <row r="29" spans="1:25" x14ac:dyDescent="0.25">
      <c r="A29" s="18" t="str">
        <f>Analysis!B59</f>
        <v>Bypass</v>
      </c>
      <c r="B29" s="18" t="str">
        <f>Analysis!C59</f>
        <v>085830N</v>
      </c>
      <c r="C29" s="18" t="str">
        <f>Analysis!D59</f>
        <v>41st Division Dr</v>
      </c>
      <c r="D29" s="9">
        <f>Analysis!E59</f>
        <v>5.73</v>
      </c>
      <c r="E29" s="9">
        <f>Analysis!AJ59/Analysis!AG59</f>
        <v>0</v>
      </c>
      <c r="F29" s="43">
        <f>Analysis!AW31</f>
        <v>2.9556851255818771E-2</v>
      </c>
      <c r="G29" s="43">
        <f>Analysis!AW59</f>
        <v>2.9556851255818771E-2</v>
      </c>
      <c r="H29" s="43">
        <f>Analysis!AW87</f>
        <v>3.0269469007948361E-2</v>
      </c>
      <c r="I29" s="43">
        <f>Analysis!AW115</f>
        <v>4.0611143394306007E-2</v>
      </c>
      <c r="J29" s="44">
        <f t="shared" si="1"/>
        <v>0.3416536439288731</v>
      </c>
      <c r="K29" s="44">
        <f>Analysis!Q115/Analysis!Q87-100%</f>
        <v>7</v>
      </c>
      <c r="L29" s="23">
        <f>Analysis!Q31</f>
        <v>2</v>
      </c>
      <c r="M29" s="23">
        <f>Analysis!Q59</f>
        <v>2</v>
      </c>
      <c r="N29" s="23">
        <f>Analysis!Q87</f>
        <v>2</v>
      </c>
      <c r="O29" s="23">
        <f>Analysis!Q115</f>
        <v>16</v>
      </c>
      <c r="P29" s="73">
        <f t="shared" si="5"/>
        <v>7</v>
      </c>
      <c r="S29" s="60"/>
      <c r="T29" s="61"/>
      <c r="U29" s="70" t="str">
        <f t="shared" si="2"/>
        <v>Unknown</v>
      </c>
      <c r="V29" s="70">
        <f t="shared" si="3"/>
        <v>34</v>
      </c>
      <c r="W29" s="70">
        <f t="shared" si="4"/>
        <v>34</v>
      </c>
      <c r="X29" s="70">
        <f t="shared" si="6"/>
        <v>33</v>
      </c>
      <c r="Y29" s="70">
        <f t="shared" si="7"/>
        <v>25</v>
      </c>
    </row>
    <row r="30" spans="1:25" ht="15.75" thickBot="1" x14ac:dyDescent="0.3">
      <c r="A30" s="18" t="str">
        <f>Analysis!B60</f>
        <v>Bypass</v>
      </c>
      <c r="B30" s="18" t="str">
        <f>Analysis!C60</f>
        <v>085836E</v>
      </c>
      <c r="C30" s="18" t="str">
        <f>Analysis!D60</f>
        <v>Barksdale Ave</v>
      </c>
      <c r="D30" s="9">
        <f>Analysis!E60</f>
        <v>7.59</v>
      </c>
      <c r="E30" s="9">
        <f>Analysis!AJ60/Analysis!AG60</f>
        <v>0</v>
      </c>
      <c r="F30" s="43">
        <f>Analysis!AW32</f>
        <v>2.0834833594610108E-2</v>
      </c>
      <c r="G30" s="43">
        <f>Analysis!AW60</f>
        <v>2.0834833594610108E-2</v>
      </c>
      <c r="H30" s="43">
        <f>Analysis!AW88</f>
        <v>2.1893716050960819E-2</v>
      </c>
      <c r="I30" s="43">
        <f>Analysis!AW116</f>
        <v>3.4410121069034322E-2</v>
      </c>
      <c r="J30" s="44">
        <f t="shared" si="1"/>
        <v>0.57168938287770521</v>
      </c>
      <c r="K30" s="44">
        <f>Analysis!Q116/Analysis!Q88-100%</f>
        <v>7</v>
      </c>
      <c r="L30" s="23">
        <f>Analysis!Q32</f>
        <v>2</v>
      </c>
      <c r="M30" s="23">
        <f>Analysis!Q60</f>
        <v>2</v>
      </c>
      <c r="N30" s="23">
        <f>Analysis!Q88</f>
        <v>2</v>
      </c>
      <c r="O30" s="23">
        <f>Analysis!Q116</f>
        <v>16</v>
      </c>
      <c r="P30" s="73">
        <f t="shared" si="5"/>
        <v>7</v>
      </c>
      <c r="S30" s="60"/>
      <c r="T30" s="61"/>
      <c r="U30" s="70" t="str">
        <f t="shared" si="2"/>
        <v>Unknown</v>
      </c>
      <c r="V30" s="70">
        <f t="shared" si="3"/>
        <v>48</v>
      </c>
      <c r="W30" s="70">
        <f t="shared" si="4"/>
        <v>48</v>
      </c>
      <c r="X30" s="70">
        <f t="shared" si="6"/>
        <v>46</v>
      </c>
      <c r="Y30" s="70">
        <f t="shared" si="7"/>
        <v>29</v>
      </c>
    </row>
    <row r="31" spans="1:25" ht="15.75" thickBot="1" x14ac:dyDescent="0.3">
      <c r="A31" s="46" t="s">
        <v>175</v>
      </c>
      <c r="B31" s="47"/>
      <c r="C31" s="47" t="s">
        <v>174</v>
      </c>
      <c r="D31" s="48"/>
      <c r="E31" s="48">
        <f>SUM(E3:E30)</f>
        <v>1</v>
      </c>
      <c r="F31" s="48">
        <f>SUM(F3:F30)</f>
        <v>0.81948489289142179</v>
      </c>
      <c r="G31" s="48">
        <f>SUM(G3:G30)</f>
        <v>0.96161190319302836</v>
      </c>
      <c r="H31" s="48">
        <f>SUM(H3:H30)</f>
        <v>1.0162997907001619</v>
      </c>
      <c r="I31" s="48">
        <f>SUM(I3:I30)</f>
        <v>1.157850800184961</v>
      </c>
      <c r="J31" s="49">
        <f t="shared" si="1"/>
        <v>0.13928076221218166</v>
      </c>
      <c r="K31" s="13"/>
      <c r="L31" s="23">
        <f>SUM(L3:L30)</f>
        <v>383</v>
      </c>
      <c r="M31" s="23">
        <f>SUM(M3:M30)</f>
        <v>553</v>
      </c>
      <c r="N31">
        <f>SUM(N3:N30)</f>
        <v>782</v>
      </c>
      <c r="O31">
        <f>SUM(O3:O30)</f>
        <v>978</v>
      </c>
      <c r="Q31" s="68">
        <f>F31/(L31*365)*1000000</f>
        <v>5.8620472326722828</v>
      </c>
      <c r="R31" s="69">
        <f>G31/(M31*365)*1000000</f>
        <v>4.7641105957196288</v>
      </c>
      <c r="S31" s="68">
        <f>H31/(N31*365)*1000000</f>
        <v>3.5605920565468305</v>
      </c>
      <c r="T31" s="69">
        <f>I31/(O31*365)*1000000</f>
        <v>3.2435521197438466</v>
      </c>
      <c r="U31" s="65">
        <f t="shared" ref="U31:Y33" si="8">IF(E31=0,"Unknown",ROUND(1/E31,1))</f>
        <v>1</v>
      </c>
      <c r="V31" s="65">
        <f t="shared" si="8"/>
        <v>1.2</v>
      </c>
      <c r="W31" s="65">
        <f t="shared" si="8"/>
        <v>1</v>
      </c>
      <c r="X31" s="65">
        <f t="shared" si="8"/>
        <v>1</v>
      </c>
      <c r="Y31" s="65">
        <f t="shared" si="8"/>
        <v>0.9</v>
      </c>
    </row>
    <row r="32" spans="1:25" ht="15.75" thickBot="1" x14ac:dyDescent="0.3">
      <c r="A32" s="50" t="s">
        <v>75</v>
      </c>
      <c r="B32" s="51"/>
      <c r="C32" s="51" t="s">
        <v>174</v>
      </c>
      <c r="D32" s="52"/>
      <c r="E32" s="52">
        <f>SUM(E3:E9)</f>
        <v>0.4</v>
      </c>
      <c r="F32" s="52">
        <f t="shared" ref="F32:I32" si="9">SUM(F3:F9)</f>
        <v>0.29390857084023686</v>
      </c>
      <c r="G32" s="52">
        <f t="shared" si="9"/>
        <v>0.29390857084023686</v>
      </c>
      <c r="H32" s="52">
        <f t="shared" si="9"/>
        <v>0.30785975162152379</v>
      </c>
      <c r="I32" s="52">
        <f t="shared" si="9"/>
        <v>0.30075089861957854</v>
      </c>
      <c r="J32" s="53">
        <f t="shared" si="1"/>
        <v>-2.3091206188864621E-2</v>
      </c>
      <c r="K32" s="13"/>
      <c r="L32" s="23">
        <f>SUM(L3:L9)</f>
        <v>343</v>
      </c>
      <c r="M32" s="23">
        <f>SUM(M3:M9)</f>
        <v>343</v>
      </c>
      <c r="N32">
        <f>SUM(N3:N9)</f>
        <v>504</v>
      </c>
      <c r="O32" s="23">
        <f>SUM(O3:O9)</f>
        <v>406</v>
      </c>
      <c r="Q32" s="68">
        <f t="shared" ref="Q32" si="10">F32/(L32*365)*1000000</f>
        <v>2.3476063008925028</v>
      </c>
      <c r="R32" s="69">
        <f t="shared" ref="R32" si="11">G32/(M32*365)*1000000</f>
        <v>2.3476063008925028</v>
      </c>
      <c r="S32" s="68">
        <f t="shared" ref="S32" si="12">H32/(N32*365)*1000000</f>
        <v>1.6735146315586202</v>
      </c>
      <c r="T32" s="69">
        <f t="shared" ref="T32" si="13">I32/(O32*365)*1000000</f>
        <v>2.0294952332787539</v>
      </c>
      <c r="U32" s="66">
        <f t="shared" si="8"/>
        <v>2.5</v>
      </c>
      <c r="V32" s="66">
        <f t="shared" si="8"/>
        <v>3.4</v>
      </c>
      <c r="W32" s="66">
        <f t="shared" si="8"/>
        <v>3.4</v>
      </c>
      <c r="X32" s="66">
        <f t="shared" si="8"/>
        <v>3.2</v>
      </c>
      <c r="Y32" s="66">
        <f t="shared" si="8"/>
        <v>3.3</v>
      </c>
    </row>
    <row r="33" spans="1:25" ht="15.75" thickBot="1" x14ac:dyDescent="0.3">
      <c r="A33" s="54" t="s">
        <v>76</v>
      </c>
      <c r="B33" s="55"/>
      <c r="C33" s="55" t="s">
        <v>174</v>
      </c>
      <c r="D33" s="56"/>
      <c r="E33" s="56">
        <f>SUM(E10:E30)</f>
        <v>0.60000000000000009</v>
      </c>
      <c r="F33" s="56">
        <f t="shared" ref="F33:I33" si="14">SUM(F10:F30)</f>
        <v>0.52557632205118476</v>
      </c>
      <c r="G33" s="56">
        <f t="shared" si="14"/>
        <v>0.66770333235279156</v>
      </c>
      <c r="H33" s="56">
        <f t="shared" si="14"/>
        <v>0.70844003907863806</v>
      </c>
      <c r="I33" s="56">
        <f t="shared" si="14"/>
        <v>0.85709990156538252</v>
      </c>
      <c r="J33" s="57">
        <f t="shared" si="1"/>
        <v>0.20984113585686681</v>
      </c>
      <c r="K33" s="13"/>
      <c r="L33" s="23">
        <f>SUM(L10:L30)</f>
        <v>40</v>
      </c>
      <c r="M33" s="23">
        <f>SUM(M10:M30)</f>
        <v>210</v>
      </c>
      <c r="N33">
        <f>SUM(N10:N30)</f>
        <v>278</v>
      </c>
      <c r="O33" s="23">
        <f>SUM(O10:O30)</f>
        <v>572</v>
      </c>
      <c r="Q33" s="68">
        <f>F33/(L33*365)*1000000</f>
        <v>35.99837822268389</v>
      </c>
      <c r="R33" s="69">
        <f>G33/(M33*365)*1000000</f>
        <v>8.7110676106039335</v>
      </c>
      <c r="S33" s="68">
        <f>H33/(N33*365)*1000000</f>
        <v>6.9817683953743774</v>
      </c>
      <c r="T33" s="69">
        <f>I33/(O33*365)*1000000</f>
        <v>4.1052778118851538</v>
      </c>
      <c r="U33" s="67">
        <f t="shared" si="8"/>
        <v>1.7</v>
      </c>
      <c r="V33" s="67">
        <f t="shared" si="8"/>
        <v>1.9</v>
      </c>
      <c r="W33" s="67">
        <f t="shared" si="8"/>
        <v>1.5</v>
      </c>
      <c r="X33" s="67">
        <f t="shared" si="8"/>
        <v>1.4</v>
      </c>
      <c r="Y33" s="67">
        <f t="shared" si="8"/>
        <v>1.2</v>
      </c>
    </row>
    <row r="34" spans="1:25" x14ac:dyDescent="0.25">
      <c r="A34" s="18"/>
      <c r="B34" s="18"/>
      <c r="C34" s="18"/>
      <c r="D34" s="9"/>
      <c r="E34" s="9"/>
      <c r="F34" s="9"/>
      <c r="G34" s="35"/>
      <c r="H34" s="35"/>
      <c r="I34" s="35"/>
      <c r="J34" s="13"/>
      <c r="K34" s="13"/>
      <c r="L34" s="13"/>
      <c r="M34" s="13"/>
      <c r="U34" s="9"/>
      <c r="V34" s="9"/>
      <c r="W34" s="35"/>
      <c r="X34" s="35"/>
      <c r="Y34" s="35"/>
    </row>
    <row r="35" spans="1:25" x14ac:dyDescent="0.25">
      <c r="A35" s="18"/>
      <c r="B35" s="18"/>
      <c r="C35" s="18"/>
      <c r="D35" s="9"/>
      <c r="E35" s="9"/>
      <c r="F35" s="9"/>
      <c r="G35" s="35"/>
      <c r="H35" s="35"/>
      <c r="I35" s="35"/>
      <c r="J35" s="13"/>
      <c r="K35" s="13"/>
      <c r="L35" s="13"/>
      <c r="M35" s="13"/>
      <c r="U35" s="9"/>
      <c r="V35" s="9"/>
      <c r="W35" s="35"/>
      <c r="X35" s="35"/>
      <c r="Y35" s="35"/>
    </row>
    <row r="36" spans="1:25" x14ac:dyDescent="0.25">
      <c r="A36" s="18"/>
      <c r="B36" s="18"/>
      <c r="C36" s="18"/>
      <c r="D36" s="9"/>
      <c r="E36" s="9"/>
      <c r="F36" s="9"/>
      <c r="G36" s="35"/>
      <c r="H36" s="35"/>
      <c r="I36" s="35"/>
      <c r="J36" s="13"/>
      <c r="K36" s="13"/>
      <c r="L36" s="13"/>
      <c r="M36" s="13"/>
      <c r="N36">
        <f>O33/N33</f>
        <v>2.0575539568345325</v>
      </c>
      <c r="O36">
        <f>634-340</f>
        <v>294</v>
      </c>
      <c r="U36" s="9"/>
      <c r="V36" s="9"/>
      <c r="W36" s="35"/>
      <c r="X36" s="35"/>
      <c r="Y36" s="35"/>
    </row>
    <row r="37" spans="1:25" x14ac:dyDescent="0.25">
      <c r="A37" s="18"/>
      <c r="B37" s="18"/>
      <c r="C37" s="18"/>
      <c r="D37" s="9"/>
      <c r="E37" s="9"/>
      <c r="F37" s="9"/>
      <c r="G37" s="35"/>
      <c r="H37" s="35"/>
      <c r="I37" s="35"/>
      <c r="J37" s="13"/>
      <c r="K37" s="13"/>
      <c r="L37" s="13"/>
      <c r="M37" s="13"/>
      <c r="O37">
        <f>406-504</f>
        <v>-98</v>
      </c>
      <c r="U37" s="9"/>
      <c r="V37" s="9"/>
      <c r="W37" s="35"/>
      <c r="X37" s="35"/>
      <c r="Y37" s="35"/>
    </row>
    <row r="38" spans="1:25" x14ac:dyDescent="0.25">
      <c r="A38" s="18"/>
      <c r="B38" s="18"/>
      <c r="C38" s="18"/>
      <c r="D38" s="9"/>
      <c r="E38" s="9"/>
      <c r="F38" s="9"/>
      <c r="G38" s="35"/>
      <c r="H38" s="35"/>
      <c r="I38" s="35"/>
      <c r="J38" s="13"/>
      <c r="K38" s="13"/>
      <c r="L38" s="13"/>
      <c r="M38" s="13"/>
      <c r="O38">
        <f>1040-844</f>
        <v>196</v>
      </c>
      <c r="U38" s="9"/>
      <c r="V38" s="9"/>
      <c r="W38" s="35"/>
      <c r="X38" s="35"/>
      <c r="Y38" s="35"/>
    </row>
    <row r="39" spans="1:25" x14ac:dyDescent="0.25">
      <c r="A39" s="18"/>
      <c r="B39" s="18"/>
      <c r="C39" s="18"/>
      <c r="D39" s="9"/>
      <c r="E39" s="9"/>
      <c r="F39" s="9"/>
      <c r="G39" s="35"/>
      <c r="H39" s="35"/>
      <c r="I39" s="35"/>
      <c r="J39" s="13"/>
      <c r="K39" s="13"/>
      <c r="L39" s="13"/>
      <c r="M39" s="13"/>
      <c r="U39" s="9"/>
      <c r="V39" s="9"/>
      <c r="W39" s="35"/>
      <c r="X39" s="35"/>
      <c r="Y39" s="35"/>
    </row>
    <row r="40" spans="1:25" x14ac:dyDescent="0.25">
      <c r="A40" s="24"/>
      <c r="B40" s="24"/>
      <c r="C40" s="24"/>
      <c r="D40" s="21"/>
      <c r="E40" s="21"/>
      <c r="F40" s="21"/>
      <c r="G40" s="38"/>
      <c r="H40" s="38"/>
      <c r="I40" s="38"/>
      <c r="J40" s="22"/>
      <c r="K40" s="22"/>
      <c r="L40" s="22"/>
      <c r="M40" s="22"/>
      <c r="U40" s="21"/>
      <c r="V40" s="21"/>
      <c r="W40" s="38"/>
      <c r="X40" s="38"/>
      <c r="Y40" s="38"/>
    </row>
    <row r="41" spans="1:25" x14ac:dyDescent="0.25">
      <c r="A41" s="18"/>
      <c r="B41" s="18"/>
      <c r="C41" s="18"/>
      <c r="D41" s="9"/>
      <c r="E41" s="9"/>
      <c r="F41" s="9"/>
      <c r="G41" s="35"/>
      <c r="H41" s="35"/>
      <c r="I41" s="35"/>
      <c r="J41" s="13"/>
      <c r="K41" s="13"/>
      <c r="L41" s="13"/>
      <c r="M41" s="13"/>
      <c r="U41" s="9"/>
      <c r="V41" s="9"/>
      <c r="W41" s="35"/>
      <c r="X41" s="35"/>
      <c r="Y41" s="35"/>
    </row>
    <row r="42" spans="1:25" x14ac:dyDescent="0.25">
      <c r="A42" s="18"/>
      <c r="B42" s="18"/>
      <c r="C42" s="18"/>
      <c r="D42" s="9"/>
      <c r="E42" s="9"/>
      <c r="F42" s="9"/>
      <c r="G42" s="35"/>
      <c r="H42" s="35"/>
      <c r="I42" s="35"/>
      <c r="J42" s="13"/>
      <c r="K42" s="13"/>
      <c r="L42" s="13"/>
      <c r="M42" s="13"/>
      <c r="U42" s="9"/>
      <c r="V42" s="9"/>
      <c r="W42" s="35"/>
      <c r="X42" s="35"/>
      <c r="Y42" s="35"/>
    </row>
    <row r="43" spans="1:25" x14ac:dyDescent="0.25">
      <c r="A43" s="18"/>
      <c r="B43" s="18"/>
      <c r="C43" s="18"/>
      <c r="D43" s="9"/>
      <c r="E43" s="9"/>
      <c r="F43" s="9"/>
      <c r="G43" s="35"/>
      <c r="H43" s="35"/>
      <c r="I43" s="35"/>
      <c r="J43" s="13"/>
      <c r="K43" s="13"/>
      <c r="L43" s="13"/>
      <c r="M43" s="13"/>
      <c r="U43" s="9"/>
      <c r="V43" s="9"/>
      <c r="W43" s="35"/>
      <c r="X43" s="35"/>
      <c r="Y43" s="35"/>
    </row>
    <row r="44" spans="1:25" x14ac:dyDescent="0.25">
      <c r="A44" s="18"/>
      <c r="B44" s="18"/>
      <c r="C44" s="18"/>
      <c r="D44" s="9"/>
      <c r="E44" s="9"/>
      <c r="F44" s="9"/>
      <c r="G44" s="35"/>
      <c r="H44" s="35"/>
      <c r="I44" s="35"/>
      <c r="J44" s="13"/>
      <c r="K44" s="13"/>
      <c r="L44" s="13"/>
      <c r="M44" s="13"/>
      <c r="U44" s="9"/>
      <c r="V44" s="9"/>
      <c r="W44" s="35"/>
      <c r="X44" s="35"/>
      <c r="Y44" s="35"/>
    </row>
    <row r="45" spans="1:25" x14ac:dyDescent="0.25">
      <c r="A45" s="18"/>
      <c r="B45" s="18"/>
      <c r="C45" s="18"/>
      <c r="D45" s="9"/>
      <c r="E45" s="9"/>
      <c r="F45" s="9"/>
      <c r="G45" s="35"/>
      <c r="H45" s="35"/>
      <c r="I45" s="35"/>
      <c r="J45" s="13"/>
      <c r="K45" s="13"/>
      <c r="L45" s="13"/>
      <c r="M45" s="13"/>
      <c r="U45" s="9"/>
      <c r="V45" s="9"/>
      <c r="W45" s="35"/>
      <c r="X45" s="35"/>
      <c r="Y45" s="35"/>
    </row>
    <row r="46" spans="1:25" x14ac:dyDescent="0.25">
      <c r="A46" s="18"/>
      <c r="B46" s="18"/>
      <c r="C46" s="18"/>
      <c r="D46" s="9"/>
      <c r="E46" s="9"/>
      <c r="F46" s="9"/>
      <c r="G46" s="35"/>
      <c r="H46" s="35"/>
      <c r="I46" s="35"/>
      <c r="J46" s="13"/>
      <c r="K46" s="13"/>
      <c r="L46" s="13"/>
      <c r="M46" s="13"/>
      <c r="U46" s="9"/>
      <c r="V46" s="9"/>
      <c r="W46" s="35"/>
      <c r="X46" s="35"/>
      <c r="Y46" s="35"/>
    </row>
    <row r="47" spans="1:25" x14ac:dyDescent="0.25">
      <c r="A47" s="18"/>
      <c r="B47" s="18"/>
      <c r="C47" s="18"/>
      <c r="D47" s="9"/>
      <c r="E47" s="9"/>
      <c r="F47" s="9"/>
      <c r="G47" s="35"/>
      <c r="H47" s="35"/>
      <c r="I47" s="35"/>
      <c r="J47" s="13"/>
      <c r="K47" s="13"/>
      <c r="L47" s="13"/>
      <c r="M47" s="13"/>
      <c r="U47" s="9"/>
      <c r="V47" s="9"/>
      <c r="W47" s="35"/>
      <c r="X47" s="35"/>
      <c r="Y47" s="35"/>
    </row>
    <row r="48" spans="1:25" x14ac:dyDescent="0.25">
      <c r="A48" s="18"/>
      <c r="B48" s="18"/>
      <c r="C48" s="18"/>
      <c r="D48" s="9"/>
      <c r="E48" s="9"/>
      <c r="F48" s="9"/>
      <c r="G48" s="35"/>
      <c r="H48" s="35"/>
      <c r="I48" s="35"/>
      <c r="J48" s="13"/>
      <c r="K48" s="13"/>
      <c r="L48" s="13"/>
      <c r="M48" s="13"/>
      <c r="U48" s="9"/>
      <c r="V48" s="9"/>
      <c r="W48" s="35"/>
      <c r="X48" s="35"/>
      <c r="Y48" s="35"/>
    </row>
    <row r="49" spans="1:25" x14ac:dyDescent="0.25">
      <c r="A49" s="18"/>
      <c r="B49" s="18"/>
      <c r="C49" s="18"/>
      <c r="D49" s="9"/>
      <c r="E49" s="9"/>
      <c r="F49" s="9"/>
      <c r="G49" s="35"/>
      <c r="H49" s="35"/>
      <c r="I49" s="35"/>
      <c r="J49" s="13"/>
      <c r="K49" s="13"/>
      <c r="L49" s="13"/>
      <c r="M49" s="13"/>
      <c r="U49" s="9"/>
      <c r="V49" s="9"/>
      <c r="W49" s="35"/>
      <c r="X49" s="35"/>
      <c r="Y49" s="35"/>
    </row>
    <row r="50" spans="1:25" x14ac:dyDescent="0.25">
      <c r="A50" s="18"/>
      <c r="B50" s="18"/>
      <c r="C50" s="18"/>
      <c r="D50" s="9"/>
      <c r="E50" s="9"/>
      <c r="F50" s="9"/>
      <c r="G50" s="35"/>
      <c r="H50" s="35"/>
      <c r="I50" s="35"/>
      <c r="J50" s="13"/>
      <c r="K50" s="13"/>
      <c r="L50" s="13"/>
      <c r="M50" s="13"/>
      <c r="U50" s="9"/>
      <c r="V50" s="9"/>
      <c r="W50" s="35"/>
      <c r="X50" s="35"/>
      <c r="Y50" s="35"/>
    </row>
    <row r="51" spans="1:25" x14ac:dyDescent="0.25">
      <c r="A51" s="18"/>
      <c r="B51" s="18"/>
      <c r="C51" s="18"/>
      <c r="D51" s="9"/>
      <c r="E51" s="9"/>
      <c r="F51" s="9"/>
      <c r="G51" s="35"/>
      <c r="H51" s="35"/>
      <c r="I51" s="35"/>
      <c r="J51" s="13"/>
      <c r="K51" s="13"/>
      <c r="L51" s="13"/>
      <c r="M51" s="13"/>
      <c r="U51" s="9"/>
      <c r="V51" s="9"/>
      <c r="W51" s="35"/>
      <c r="X51" s="35"/>
      <c r="Y51" s="35"/>
    </row>
    <row r="52" spans="1:25" x14ac:dyDescent="0.25">
      <c r="A52" s="18"/>
      <c r="B52" s="18"/>
      <c r="C52" s="18"/>
      <c r="D52" s="9"/>
      <c r="E52" s="9"/>
      <c r="F52" s="9"/>
      <c r="G52" s="35"/>
      <c r="H52" s="35"/>
      <c r="I52" s="35"/>
      <c r="J52" s="13"/>
      <c r="K52" s="13"/>
      <c r="L52" s="13"/>
      <c r="M52" s="13"/>
      <c r="U52" s="9"/>
      <c r="V52" s="9"/>
      <c r="W52" s="35"/>
      <c r="X52" s="35"/>
      <c r="Y52" s="35"/>
    </row>
    <row r="53" spans="1:25" x14ac:dyDescent="0.25">
      <c r="A53" s="18"/>
      <c r="B53" s="18"/>
      <c r="C53" s="18"/>
      <c r="D53" s="9"/>
      <c r="E53" s="9"/>
      <c r="F53" s="9"/>
      <c r="G53" s="35"/>
      <c r="H53" s="35"/>
      <c r="I53" s="35"/>
      <c r="J53" s="13"/>
      <c r="K53" s="13"/>
      <c r="L53" s="13"/>
      <c r="M53" s="13"/>
      <c r="U53" s="9"/>
      <c r="V53" s="9"/>
      <c r="W53" s="35"/>
      <c r="X53" s="35"/>
      <c r="Y53" s="35"/>
    </row>
    <row r="54" spans="1:25" x14ac:dyDescent="0.25">
      <c r="A54" s="18"/>
      <c r="B54" s="18"/>
      <c r="C54" s="18"/>
      <c r="D54" s="9"/>
      <c r="E54" s="9"/>
      <c r="F54" s="9"/>
      <c r="G54" s="35"/>
      <c r="H54" s="35"/>
      <c r="I54" s="35"/>
      <c r="J54" s="13"/>
      <c r="K54" s="13"/>
      <c r="L54" s="13"/>
      <c r="M54" s="13"/>
      <c r="U54" s="9"/>
      <c r="V54" s="9"/>
      <c r="W54" s="35"/>
      <c r="X54" s="35"/>
      <c r="Y54" s="35"/>
    </row>
    <row r="55" spans="1:25" x14ac:dyDescent="0.25">
      <c r="A55" s="18"/>
      <c r="B55" s="18"/>
      <c r="C55" s="18"/>
      <c r="D55" s="9"/>
      <c r="E55" s="9"/>
      <c r="F55" s="9"/>
      <c r="G55" s="35"/>
      <c r="H55" s="35"/>
      <c r="I55" s="35"/>
      <c r="J55" s="13"/>
      <c r="K55" s="13"/>
      <c r="L55" s="13"/>
      <c r="M55" s="13"/>
      <c r="U55" s="9"/>
      <c r="V55" s="9"/>
      <c r="W55" s="35"/>
      <c r="X55" s="35"/>
      <c r="Y55" s="35"/>
    </row>
    <row r="56" spans="1:25" x14ac:dyDescent="0.25">
      <c r="A56" s="18"/>
      <c r="B56" s="18"/>
      <c r="C56" s="18"/>
      <c r="D56" s="9"/>
      <c r="E56" s="9"/>
      <c r="F56" s="9"/>
      <c r="G56" s="35"/>
      <c r="H56" s="35"/>
      <c r="I56" s="35"/>
      <c r="J56" s="13"/>
      <c r="K56" s="13"/>
      <c r="L56" s="13"/>
      <c r="M56" s="13"/>
      <c r="U56" s="9"/>
      <c r="V56" s="9"/>
      <c r="W56" s="35"/>
      <c r="X56" s="35"/>
      <c r="Y56" s="35"/>
    </row>
    <row r="57" spans="1:25" x14ac:dyDescent="0.25">
      <c r="A57" s="18"/>
      <c r="B57" s="18"/>
      <c r="C57" s="18"/>
      <c r="D57" s="9"/>
      <c r="E57" s="9"/>
      <c r="F57" s="9"/>
      <c r="G57" s="35"/>
      <c r="H57" s="35"/>
      <c r="I57" s="35"/>
      <c r="J57" s="13"/>
      <c r="K57" s="13"/>
      <c r="L57" s="13"/>
      <c r="M57" s="13"/>
      <c r="U57" s="9"/>
      <c r="V57" s="9"/>
      <c r="W57" s="35"/>
      <c r="X57" s="35"/>
      <c r="Y57" s="35"/>
    </row>
    <row r="58" spans="1:25" x14ac:dyDescent="0.25">
      <c r="A58" s="18"/>
      <c r="B58" s="18"/>
      <c r="C58" s="18"/>
      <c r="D58" s="9"/>
      <c r="E58" s="9"/>
      <c r="F58" s="9"/>
      <c r="G58" s="35"/>
      <c r="H58" s="35"/>
      <c r="I58" s="35"/>
      <c r="J58" s="13"/>
      <c r="K58" s="13"/>
      <c r="L58" s="13"/>
      <c r="M58" s="13"/>
      <c r="U58" s="9"/>
      <c r="V58" s="9"/>
      <c r="W58" s="35"/>
      <c r="X58" s="35"/>
      <c r="Y58" s="35"/>
    </row>
    <row r="59" spans="1:25" x14ac:dyDescent="0.25">
      <c r="A59" s="18"/>
      <c r="B59" s="18"/>
      <c r="C59" s="18"/>
      <c r="D59" s="9"/>
      <c r="E59" s="9"/>
      <c r="F59" s="9"/>
      <c r="G59" s="35"/>
      <c r="H59" s="35"/>
      <c r="I59" s="35"/>
      <c r="J59" s="13"/>
      <c r="K59" s="13"/>
      <c r="L59" s="13"/>
      <c r="M59" s="13"/>
      <c r="U59" s="9"/>
      <c r="V59" s="9"/>
      <c r="W59" s="35"/>
      <c r="X59" s="35"/>
      <c r="Y59" s="35"/>
    </row>
    <row r="60" spans="1:25" x14ac:dyDescent="0.25">
      <c r="A60" s="18"/>
      <c r="B60" s="18"/>
      <c r="C60" s="18"/>
      <c r="D60" s="9"/>
      <c r="E60" s="9"/>
      <c r="F60" s="9"/>
      <c r="G60" s="35"/>
      <c r="H60" s="35"/>
      <c r="I60" s="35"/>
      <c r="J60" s="13"/>
      <c r="K60" s="13"/>
      <c r="L60" s="13"/>
      <c r="M60" s="13"/>
      <c r="U60" s="9"/>
      <c r="V60" s="9"/>
      <c r="W60" s="35"/>
      <c r="X60" s="35"/>
      <c r="Y60" s="35"/>
    </row>
    <row r="61" spans="1:25" x14ac:dyDescent="0.25">
      <c r="A61" s="18"/>
      <c r="B61" s="18"/>
      <c r="C61" s="18"/>
      <c r="D61" s="9"/>
      <c r="E61" s="9"/>
      <c r="F61" s="9"/>
      <c r="G61" s="35"/>
      <c r="H61" s="35"/>
      <c r="I61" s="35"/>
      <c r="J61" s="13"/>
      <c r="K61" s="13"/>
      <c r="L61" s="13"/>
      <c r="M61" s="13"/>
      <c r="U61" s="9"/>
      <c r="V61" s="9"/>
      <c r="W61" s="35"/>
      <c r="X61" s="35"/>
      <c r="Y61" s="35"/>
    </row>
    <row r="62" spans="1:25" x14ac:dyDescent="0.25">
      <c r="A62" s="18"/>
      <c r="B62" s="18"/>
      <c r="C62" s="18"/>
      <c r="D62" s="9"/>
      <c r="E62" s="9"/>
      <c r="F62" s="9"/>
      <c r="G62" s="35"/>
      <c r="H62" s="35"/>
      <c r="I62" s="35"/>
      <c r="J62" s="13"/>
      <c r="K62" s="13"/>
      <c r="L62" s="13"/>
      <c r="M62" s="13"/>
      <c r="U62" s="9"/>
      <c r="V62" s="9"/>
      <c r="W62" s="35"/>
      <c r="X62" s="35"/>
      <c r="Y62" s="35"/>
    </row>
    <row r="63" spans="1:25" x14ac:dyDescent="0.25">
      <c r="A63" s="18"/>
      <c r="B63" s="18"/>
      <c r="C63" s="18"/>
      <c r="D63" s="9"/>
      <c r="E63" s="9"/>
      <c r="F63" s="9"/>
      <c r="G63" s="35"/>
      <c r="H63" s="35"/>
      <c r="I63" s="35"/>
      <c r="J63" s="13"/>
      <c r="K63" s="13"/>
      <c r="L63" s="13"/>
      <c r="M63" s="13"/>
      <c r="U63" s="9"/>
      <c r="V63" s="9"/>
      <c r="W63" s="35"/>
      <c r="X63" s="35"/>
      <c r="Y63" s="35"/>
    </row>
    <row r="64" spans="1:25" x14ac:dyDescent="0.25">
      <c r="A64" s="18"/>
      <c r="B64" s="18"/>
      <c r="C64" s="18"/>
      <c r="D64" s="9"/>
      <c r="E64" s="9"/>
      <c r="F64" s="9"/>
      <c r="G64" s="35"/>
      <c r="H64" s="35"/>
      <c r="I64" s="35"/>
      <c r="J64" s="13"/>
      <c r="K64" s="13"/>
      <c r="L64" s="13"/>
      <c r="M64" s="13"/>
      <c r="U64" s="9"/>
      <c r="V64" s="9"/>
      <c r="W64" s="35"/>
      <c r="X64" s="35"/>
      <c r="Y64" s="35"/>
    </row>
    <row r="65" spans="1:25" x14ac:dyDescent="0.25">
      <c r="A65" s="18"/>
      <c r="B65" s="18"/>
      <c r="C65" s="18"/>
      <c r="D65" s="9"/>
      <c r="E65" s="9"/>
      <c r="F65" s="9"/>
      <c r="G65" s="35"/>
      <c r="H65" s="35"/>
      <c r="I65" s="35"/>
      <c r="J65" s="13"/>
      <c r="K65" s="13"/>
      <c r="L65" s="13"/>
      <c r="M65" s="13"/>
      <c r="U65" s="9"/>
      <c r="V65" s="9"/>
      <c r="W65" s="35"/>
      <c r="X65" s="35"/>
      <c r="Y65" s="35"/>
    </row>
    <row r="66" spans="1:25" x14ac:dyDescent="0.25">
      <c r="A66" s="18"/>
      <c r="B66" s="18"/>
      <c r="C66" s="18"/>
      <c r="D66" s="9"/>
      <c r="E66" s="9"/>
      <c r="F66" s="9"/>
      <c r="G66" s="35"/>
      <c r="H66" s="35"/>
      <c r="I66" s="35"/>
      <c r="J66" s="13"/>
      <c r="K66" s="13"/>
      <c r="L66" s="13"/>
      <c r="M66" s="13"/>
      <c r="U66" s="9"/>
      <c r="V66" s="9"/>
      <c r="W66" s="35"/>
      <c r="X66" s="35"/>
      <c r="Y66" s="35"/>
    </row>
    <row r="67" spans="1:25" x14ac:dyDescent="0.25">
      <c r="A67" s="18"/>
      <c r="B67" s="18"/>
      <c r="C67" s="18"/>
      <c r="D67" s="9"/>
      <c r="E67" s="9"/>
      <c r="F67" s="9"/>
      <c r="G67" s="35"/>
      <c r="H67" s="35"/>
      <c r="I67" s="35"/>
      <c r="J67" s="13"/>
      <c r="K67" s="13"/>
      <c r="L67" s="13"/>
      <c r="M67" s="13"/>
      <c r="U67" s="9"/>
      <c r="V67" s="9"/>
      <c r="W67" s="35"/>
      <c r="X67" s="35"/>
      <c r="Y67" s="35"/>
    </row>
    <row r="68" spans="1:25" x14ac:dyDescent="0.25">
      <c r="A68" s="24"/>
      <c r="B68" s="24"/>
      <c r="C68" s="24"/>
      <c r="D68" s="21"/>
      <c r="E68" s="21"/>
      <c r="F68" s="21"/>
      <c r="G68" s="38"/>
      <c r="H68" s="38"/>
      <c r="I68" s="38"/>
      <c r="J68" s="22"/>
      <c r="K68" s="22"/>
      <c r="L68" s="22"/>
      <c r="M68" s="22"/>
      <c r="U68" s="21"/>
      <c r="V68" s="21"/>
      <c r="W68" s="38"/>
      <c r="X68" s="38"/>
      <c r="Y68" s="38"/>
    </row>
    <row r="69" spans="1:25" x14ac:dyDescent="0.25">
      <c r="A69" s="18"/>
      <c r="B69" s="18"/>
      <c r="C69" s="18"/>
      <c r="D69" s="9"/>
      <c r="E69" s="9"/>
      <c r="F69" s="9"/>
      <c r="G69" s="35"/>
      <c r="H69" s="35"/>
      <c r="I69" s="35"/>
      <c r="J69" s="13"/>
      <c r="K69" s="13"/>
      <c r="L69" s="13"/>
      <c r="M69" s="13"/>
      <c r="U69" s="9"/>
      <c r="V69" s="9"/>
      <c r="W69" s="35"/>
      <c r="X69" s="35"/>
      <c r="Y69" s="35"/>
    </row>
    <row r="70" spans="1:25" x14ac:dyDescent="0.25">
      <c r="A70" s="18"/>
      <c r="B70" s="18"/>
      <c r="C70" s="18"/>
      <c r="D70" s="9"/>
      <c r="E70" s="9"/>
      <c r="F70" s="9"/>
      <c r="G70" s="35"/>
      <c r="H70" s="35"/>
      <c r="I70" s="35"/>
      <c r="J70" s="13"/>
      <c r="K70" s="13"/>
      <c r="L70" s="13"/>
      <c r="M70" s="13"/>
      <c r="U70" s="9"/>
      <c r="V70" s="9"/>
      <c r="W70" s="35"/>
      <c r="X70" s="35"/>
      <c r="Y70" s="35"/>
    </row>
    <row r="71" spans="1:25" x14ac:dyDescent="0.25">
      <c r="A71" s="18"/>
      <c r="B71" s="18"/>
      <c r="C71" s="18"/>
      <c r="D71" s="9"/>
      <c r="E71" s="9"/>
      <c r="F71" s="9"/>
      <c r="G71" s="35"/>
      <c r="H71" s="35"/>
      <c r="I71" s="35"/>
      <c r="J71" s="13"/>
      <c r="K71" s="13"/>
      <c r="L71" s="13"/>
      <c r="M71" s="13"/>
      <c r="U71" s="9"/>
      <c r="V71" s="9"/>
      <c r="W71" s="35"/>
      <c r="X71" s="35"/>
      <c r="Y71" s="35"/>
    </row>
    <row r="72" spans="1:25" x14ac:dyDescent="0.25">
      <c r="A72" s="18"/>
      <c r="B72" s="18"/>
      <c r="C72" s="18"/>
      <c r="D72" s="9"/>
      <c r="E72" s="9"/>
      <c r="F72" s="9"/>
      <c r="G72" s="35"/>
      <c r="H72" s="35"/>
      <c r="I72" s="35"/>
      <c r="J72" s="13"/>
      <c r="K72" s="13"/>
      <c r="L72" s="13"/>
      <c r="M72" s="13"/>
      <c r="U72" s="9"/>
      <c r="V72" s="9"/>
      <c r="W72" s="35"/>
      <c r="X72" s="35"/>
      <c r="Y72" s="35"/>
    </row>
    <row r="73" spans="1:25" x14ac:dyDescent="0.25">
      <c r="A73" s="18"/>
      <c r="B73" s="18"/>
      <c r="C73" s="18"/>
      <c r="D73" s="9"/>
      <c r="E73" s="9"/>
      <c r="F73" s="9"/>
      <c r="G73" s="35"/>
      <c r="H73" s="35"/>
      <c r="I73" s="35"/>
      <c r="U73" s="9"/>
      <c r="V73" s="9"/>
      <c r="W73" s="35"/>
      <c r="X73" s="35"/>
      <c r="Y73" s="35"/>
    </row>
    <row r="74" spans="1:25" x14ac:dyDescent="0.25">
      <c r="A74" s="18"/>
      <c r="B74" s="18"/>
      <c r="C74" s="18"/>
      <c r="D74" s="9"/>
      <c r="E74" s="9"/>
      <c r="F74" s="9"/>
      <c r="G74" s="35"/>
      <c r="H74" s="35"/>
      <c r="I74" s="35"/>
      <c r="U74" s="9"/>
      <c r="V74" s="9"/>
      <c r="W74" s="35"/>
      <c r="X74" s="35"/>
      <c r="Y74" s="35"/>
    </row>
    <row r="75" spans="1:25" x14ac:dyDescent="0.25">
      <c r="A75" s="18"/>
      <c r="B75" s="18"/>
      <c r="C75" s="18"/>
      <c r="D75" s="9"/>
      <c r="E75" s="9"/>
      <c r="F75" s="9"/>
      <c r="G75" s="35"/>
      <c r="H75" s="35"/>
      <c r="I75" s="35"/>
      <c r="U75" s="9"/>
      <c r="V75" s="9"/>
      <c r="W75" s="35"/>
      <c r="X75" s="35"/>
      <c r="Y75" s="35"/>
    </row>
    <row r="76" spans="1:25" x14ac:dyDescent="0.25">
      <c r="A76" s="18"/>
      <c r="B76" s="18"/>
      <c r="C76" s="18"/>
      <c r="D76" s="9"/>
      <c r="E76" s="9"/>
      <c r="F76" s="9"/>
      <c r="G76" s="35"/>
      <c r="H76" s="35"/>
      <c r="I76" s="35"/>
      <c r="U76" s="9"/>
      <c r="V76" s="9"/>
      <c r="W76" s="35"/>
      <c r="X76" s="35"/>
      <c r="Y76" s="35"/>
    </row>
    <row r="77" spans="1:25" x14ac:dyDescent="0.25">
      <c r="A77" s="18"/>
      <c r="B77" s="18"/>
      <c r="C77" s="18"/>
      <c r="D77" s="9"/>
      <c r="E77" s="9"/>
      <c r="F77" s="9"/>
      <c r="G77" s="35"/>
      <c r="H77" s="35"/>
      <c r="I77" s="35"/>
      <c r="U77" s="9"/>
      <c r="V77" s="9"/>
      <c r="W77" s="35"/>
      <c r="X77" s="35"/>
      <c r="Y77" s="35"/>
    </row>
    <row r="78" spans="1:25" x14ac:dyDescent="0.25">
      <c r="A78" s="18"/>
      <c r="B78" s="18"/>
      <c r="C78" s="18"/>
      <c r="D78" s="9"/>
      <c r="E78" s="9"/>
      <c r="F78" s="9"/>
      <c r="G78" s="35"/>
      <c r="H78" s="35"/>
      <c r="I78" s="35"/>
      <c r="U78" s="9"/>
      <c r="V78" s="9"/>
      <c r="W78" s="35"/>
      <c r="X78" s="35"/>
      <c r="Y78" s="35"/>
    </row>
    <row r="79" spans="1:25" x14ac:dyDescent="0.25">
      <c r="A79" s="18"/>
      <c r="B79" s="18"/>
      <c r="C79" s="18"/>
      <c r="D79" s="9"/>
      <c r="E79" s="9"/>
      <c r="F79" s="9"/>
      <c r="G79" s="35"/>
      <c r="H79" s="35"/>
      <c r="I79" s="35"/>
      <c r="U79" s="9"/>
      <c r="V79" s="9"/>
      <c r="W79" s="35"/>
      <c r="X79" s="35"/>
      <c r="Y79" s="35"/>
    </row>
    <row r="80" spans="1:25" x14ac:dyDescent="0.25">
      <c r="A80" s="18"/>
      <c r="B80" s="18"/>
      <c r="C80" s="18"/>
      <c r="D80" s="9"/>
      <c r="E80" s="9"/>
      <c r="F80" s="9"/>
      <c r="G80" s="35"/>
      <c r="H80" s="35"/>
      <c r="I80" s="35"/>
      <c r="U80" s="9"/>
      <c r="V80" s="9"/>
      <c r="W80" s="35"/>
      <c r="X80" s="35"/>
      <c r="Y80" s="35"/>
    </row>
    <row r="81" spans="1:25" x14ac:dyDescent="0.25">
      <c r="A81" s="18"/>
      <c r="B81" s="18"/>
      <c r="C81" s="18"/>
      <c r="D81" s="9"/>
      <c r="E81" s="9"/>
      <c r="F81" s="9"/>
      <c r="G81" s="35"/>
      <c r="H81" s="35"/>
      <c r="I81" s="35"/>
      <c r="U81" s="9"/>
      <c r="V81" s="9"/>
      <c r="W81" s="35"/>
      <c r="X81" s="35"/>
      <c r="Y81" s="35"/>
    </row>
    <row r="82" spans="1:25" x14ac:dyDescent="0.25">
      <c r="A82" s="18"/>
      <c r="B82" s="18"/>
      <c r="C82" s="18"/>
      <c r="D82" s="9"/>
      <c r="E82" s="9"/>
      <c r="F82" s="9"/>
      <c r="G82" s="35"/>
      <c r="H82" s="35"/>
      <c r="I82" s="35"/>
      <c r="U82" s="9"/>
      <c r="V82" s="9"/>
      <c r="W82" s="35"/>
      <c r="X82" s="35"/>
      <c r="Y82" s="35"/>
    </row>
    <row r="83" spans="1:25" x14ac:dyDescent="0.25">
      <c r="A83" s="18"/>
      <c r="B83" s="18"/>
      <c r="C83" s="18"/>
      <c r="D83" s="9"/>
      <c r="E83" s="9"/>
      <c r="F83" s="9"/>
      <c r="G83" s="35"/>
      <c r="H83" s="35"/>
      <c r="I83" s="35"/>
      <c r="U83" s="9"/>
      <c r="V83" s="9"/>
      <c r="W83" s="35"/>
      <c r="X83" s="35"/>
      <c r="Y83" s="35"/>
    </row>
    <row r="84" spans="1:25" x14ac:dyDescent="0.25">
      <c r="A84" s="18"/>
      <c r="B84" s="18"/>
      <c r="C84" s="18"/>
      <c r="D84" s="9"/>
      <c r="E84" s="9"/>
      <c r="F84" s="9"/>
      <c r="G84" s="35"/>
      <c r="H84" s="35"/>
      <c r="I84" s="35"/>
      <c r="U84" s="9"/>
      <c r="V84" s="9"/>
      <c r="W84" s="35"/>
      <c r="X84" s="35"/>
      <c r="Y84" s="35"/>
    </row>
    <row r="85" spans="1:25" x14ac:dyDescent="0.25">
      <c r="A85" s="18"/>
      <c r="B85" s="18"/>
      <c r="C85" s="18"/>
      <c r="D85" s="9"/>
      <c r="E85" s="9"/>
      <c r="F85" s="9"/>
      <c r="G85" s="35"/>
      <c r="H85" s="35"/>
      <c r="I85" s="35"/>
      <c r="U85" s="9"/>
      <c r="V85" s="9"/>
      <c r="W85" s="35"/>
      <c r="X85" s="35"/>
      <c r="Y85" s="35"/>
    </row>
    <row r="86" spans="1:25" x14ac:dyDescent="0.25">
      <c r="A86" s="18"/>
      <c r="B86" s="18"/>
      <c r="C86" s="18"/>
      <c r="D86" s="9"/>
      <c r="E86" s="9"/>
      <c r="F86" s="9"/>
      <c r="G86" s="35"/>
      <c r="H86" s="35"/>
      <c r="I86" s="35"/>
      <c r="U86" s="9"/>
      <c r="V86" s="9"/>
      <c r="W86" s="35"/>
      <c r="X86" s="35"/>
      <c r="Y86" s="35"/>
    </row>
  </sheetData>
  <mergeCells count="2">
    <mergeCell ref="A1:K1"/>
    <mergeCell ref="Q1:T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</vt:lpstr>
      <vt:lpstr>Analysis</vt:lpstr>
      <vt:lpstr>Summary</vt:lpstr>
      <vt:lpstr>Sheet1</vt:lpstr>
    </vt:vector>
  </TitlesOfParts>
  <Company>Parametrix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Chen</dc:creator>
  <cp:lastModifiedBy>Mattson, Larry</cp:lastModifiedBy>
  <dcterms:created xsi:type="dcterms:W3CDTF">2011-10-07T23:17:01Z</dcterms:created>
  <dcterms:modified xsi:type="dcterms:W3CDTF">2012-10-09T21:34:01Z</dcterms:modified>
</cp:coreProperties>
</file>